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mlavery\Dropbox\! Atatchments\"/>
    </mc:Choice>
  </mc:AlternateContent>
  <xr:revisionPtr revIDLastSave="0" documentId="13_ncr:1_{A1BFFA91-2ADC-463C-A47B-6036BDDED71C}" xr6:coauthVersionLast="47" xr6:coauthVersionMax="47" xr10:uidLastSave="{00000000-0000-0000-0000-000000000000}"/>
  <bookViews>
    <workbookView xWindow="-120" yWindow="-120" windowWidth="29040" windowHeight="15840" xr2:uid="{B802F622-7499-43AC-8303-C529ADDA0FCA}"/>
  </bookViews>
  <sheets>
    <sheet name="Elementary &amp; Middle Schools" sheetId="3" r:id="rId1"/>
    <sheet name="High School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 i="2" l="1"/>
  <c r="G11" i="2"/>
  <c r="G10" i="2"/>
  <c r="G9" i="2"/>
  <c r="G8" i="2"/>
  <c r="G7" i="2"/>
  <c r="G6" i="2"/>
  <c r="G5" i="2"/>
  <c r="H5" i="3"/>
  <c r="G9" i="3"/>
  <c r="G8" i="3"/>
  <c r="G7" i="3"/>
  <c r="G6" i="3"/>
  <c r="D5" i="3"/>
  <c r="G5" i="3" s="1"/>
  <c r="J72" i="3"/>
  <c r="I72" i="3"/>
  <c r="J68" i="3"/>
  <c r="H67" i="3"/>
  <c r="J67" i="3" s="1"/>
  <c r="J56" i="3"/>
  <c r="J55" i="3"/>
  <c r="J54" i="3"/>
  <c r="J53" i="3"/>
  <c r="J52" i="3"/>
  <c r="I50" i="3"/>
  <c r="I51" i="3" s="1"/>
  <c r="H50" i="3"/>
  <c r="J50" i="3" s="1"/>
  <c r="H48" i="3"/>
  <c r="I48" i="3" s="1"/>
  <c r="J42" i="3"/>
  <c r="J41" i="3"/>
  <c r="J40" i="3"/>
  <c r="J39" i="3"/>
  <c r="J38" i="3"/>
  <c r="J37" i="3"/>
  <c r="J35" i="3"/>
  <c r="J34" i="3"/>
  <c r="J33" i="3"/>
  <c r="J32" i="3"/>
  <c r="J31" i="3"/>
  <c r="J30" i="3"/>
  <c r="I28" i="3"/>
  <c r="H28" i="3"/>
  <c r="G28" i="3"/>
  <c r="F28" i="3"/>
  <c r="E28" i="3"/>
  <c r="E27" i="3"/>
  <c r="H26" i="3"/>
  <c r="J26" i="3" s="1"/>
  <c r="J19" i="3"/>
  <c r="J18" i="3"/>
  <c r="J17" i="3"/>
  <c r="J16" i="3"/>
  <c r="J15" i="3"/>
  <c r="I13" i="3"/>
  <c r="I14" i="3" s="1"/>
  <c r="H13" i="3"/>
  <c r="J13" i="3" s="1"/>
  <c r="F9" i="3"/>
  <c r="D9" i="3"/>
  <c r="F8" i="3"/>
  <c r="D8" i="3"/>
  <c r="I13" i="2"/>
  <c r="G32" i="2"/>
  <c r="J61" i="2"/>
  <c r="J59" i="2"/>
  <c r="J57" i="2"/>
  <c r="J55" i="2"/>
  <c r="F8" i="2"/>
  <c r="F10" i="2"/>
  <c r="F11" i="2"/>
  <c r="J85" i="2"/>
  <c r="J81" i="2"/>
  <c r="I80" i="2" s="1"/>
  <c r="D10" i="2" s="1"/>
  <c r="F68" i="2"/>
  <c r="J68" i="2" s="1"/>
  <c r="I52" i="2"/>
  <c r="J52" i="2" s="1"/>
  <c r="H48" i="2"/>
  <c r="I47" i="2" s="1"/>
  <c r="D7" i="2" s="1"/>
  <c r="D11" i="2"/>
  <c r="I42" i="2"/>
  <c r="I33" i="2" s="1"/>
  <c r="I34" i="2" s="1"/>
  <c r="H42" i="2"/>
  <c r="H33" i="2" s="1"/>
  <c r="H34" i="2" s="1"/>
  <c r="J41" i="2"/>
  <c r="J40" i="2"/>
  <c r="J39" i="2"/>
  <c r="J38" i="2"/>
  <c r="J37" i="2"/>
  <c r="J36" i="2"/>
  <c r="J35" i="2"/>
  <c r="G12" i="3" l="1"/>
  <c r="H11" i="3"/>
  <c r="J14" i="3"/>
  <c r="J51" i="3"/>
  <c r="F7" i="3"/>
  <c r="J48" i="3"/>
  <c r="H14" i="3"/>
  <c r="D6" i="3"/>
  <c r="F6" i="3" s="1"/>
  <c r="F5" i="3" s="1"/>
  <c r="I26" i="3"/>
  <c r="D7" i="3"/>
  <c r="H51" i="3"/>
  <c r="I67" i="3"/>
  <c r="F9" i="2"/>
  <c r="D8" i="2"/>
  <c r="I67" i="2"/>
  <c r="J47" i="2"/>
  <c r="J42" i="2"/>
  <c r="J33" i="2" s="1"/>
  <c r="I24" i="2"/>
  <c r="I15" i="2" s="1"/>
  <c r="I16" i="2" s="1"/>
  <c r="H24" i="2"/>
  <c r="J23" i="2"/>
  <c r="J22" i="2"/>
  <c r="J19" i="2"/>
  <c r="J21" i="2"/>
  <c r="J20" i="2"/>
  <c r="J18" i="2"/>
  <c r="J17" i="2"/>
  <c r="J11" i="3" l="1"/>
  <c r="I11" i="3"/>
  <c r="H15" i="2"/>
  <c r="H16" i="2" s="1"/>
  <c r="J67" i="2"/>
  <c r="D9" i="2"/>
  <c r="J34" i="2"/>
  <c r="F6" i="2"/>
  <c r="I31" i="2"/>
  <c r="D6" i="2" s="1"/>
  <c r="J24" i="2"/>
  <c r="J15" i="2" s="1"/>
  <c r="I5" i="3" l="1"/>
  <c r="J80" i="2"/>
  <c r="G14" i="2"/>
  <c r="J31" i="2" s="1"/>
  <c r="J16" i="2"/>
  <c r="J5" i="3" l="1"/>
  <c r="J13" i="2"/>
  <c r="D5" i="2"/>
  <c r="J5" i="2" l="1"/>
  <c r="F5" i="2"/>
  <c r="F7" i="2" s="1"/>
</calcChain>
</file>

<file path=xl/sharedStrings.xml><?xml version="1.0" encoding="utf-8"?>
<sst xmlns="http://schemas.openxmlformats.org/spreadsheetml/2006/main" count="249" uniqueCount="158">
  <si>
    <t>Academic Achievement</t>
  </si>
  <si>
    <r>
      <t xml:space="preserve">Number Projected for </t>
    </r>
    <r>
      <rPr>
        <i/>
        <sz val="11"/>
        <color theme="1"/>
        <rFont val="Calibri"/>
        <family val="2"/>
        <scheme val="minor"/>
      </rPr>
      <t>Exceeds Expectations</t>
    </r>
    <r>
      <rPr>
        <sz val="11"/>
        <color theme="1"/>
        <rFont val="Calibri"/>
        <family val="2"/>
        <scheme val="minor"/>
      </rPr>
      <t>:</t>
    </r>
  </si>
  <si>
    <r>
      <t xml:space="preserve">Number Projected for </t>
    </r>
    <r>
      <rPr>
        <i/>
        <sz val="11"/>
        <color theme="1"/>
        <rFont val="Calibri"/>
        <family val="2"/>
        <scheme val="minor"/>
      </rPr>
      <t>Does Not Meet Expectations</t>
    </r>
    <r>
      <rPr>
        <sz val="11"/>
        <color theme="1"/>
        <rFont val="Calibri"/>
        <family val="2"/>
        <scheme val="minor"/>
      </rPr>
      <t>:</t>
    </r>
  </si>
  <si>
    <r>
      <t xml:space="preserve">Number Projected for </t>
    </r>
    <r>
      <rPr>
        <i/>
        <sz val="11"/>
        <color theme="1"/>
        <rFont val="Calibri"/>
        <family val="2"/>
        <scheme val="minor"/>
      </rPr>
      <t>Approches Expectations</t>
    </r>
    <r>
      <rPr>
        <sz val="11"/>
        <color theme="1"/>
        <rFont val="Calibri"/>
        <family val="2"/>
        <scheme val="minor"/>
      </rPr>
      <t>:</t>
    </r>
  </si>
  <si>
    <r>
      <t xml:space="preserve">Number Projected for </t>
    </r>
    <r>
      <rPr>
        <i/>
        <sz val="11"/>
        <color theme="1"/>
        <rFont val="Calibri"/>
        <family val="2"/>
        <scheme val="minor"/>
      </rPr>
      <t>Meets Expectations</t>
    </r>
    <r>
      <rPr>
        <sz val="11"/>
        <color theme="1"/>
        <rFont val="Calibri"/>
        <family val="2"/>
        <scheme val="minor"/>
      </rPr>
      <t>:</t>
    </r>
  </si>
  <si>
    <r>
      <t xml:space="preserve">Number Projected for </t>
    </r>
    <r>
      <rPr>
        <i/>
        <sz val="11"/>
        <color theme="1"/>
        <rFont val="Calibri"/>
        <family val="2"/>
        <scheme val="minor"/>
      </rPr>
      <t>Not Tested</t>
    </r>
    <r>
      <rPr>
        <sz val="11"/>
        <color theme="1"/>
        <rFont val="Calibri"/>
        <family val="2"/>
        <scheme val="minor"/>
      </rPr>
      <t>:</t>
    </r>
  </si>
  <si>
    <t>ELA</t>
  </si>
  <si>
    <t>Math</t>
  </si>
  <si>
    <t>Percent who Meet or Exceed Expectations:</t>
  </si>
  <si>
    <t>Number Included in the Indicator:</t>
  </si>
  <si>
    <t>Combined</t>
  </si>
  <si>
    <t>Rating</t>
  </si>
  <si>
    <t>AAES</t>
  </si>
  <si>
    <t>AAMS</t>
  </si>
  <si>
    <t>PfSES</t>
  </si>
  <si>
    <t>PfSMS</t>
  </si>
  <si>
    <t>MLPES</t>
  </si>
  <si>
    <t>MLPMS</t>
  </si>
  <si>
    <t>SPES</t>
  </si>
  <si>
    <t>SPMS</t>
  </si>
  <si>
    <t>SCES</t>
  </si>
  <si>
    <t>SCMS</t>
  </si>
  <si>
    <t>Excellent</t>
  </si>
  <si>
    <t>Good</t>
  </si>
  <si>
    <t>Average</t>
  </si>
  <si>
    <t>Below Average</t>
  </si>
  <si>
    <t>Unsatisfactory</t>
  </si>
  <si>
    <t>Student Progress</t>
  </si>
  <si>
    <t>Est. Points</t>
  </si>
  <si>
    <t>Est. ES Rating</t>
  </si>
  <si>
    <t>Est. MS Rating</t>
  </si>
  <si>
    <t>Participation Rate:</t>
  </si>
  <si>
    <t>%  ≥ MAT</t>
  </si>
  <si>
    <t>%  ≥ AVT</t>
  </si>
  <si>
    <r>
      <t>Target Points (RP</t>
    </r>
    <r>
      <rPr>
        <b/>
        <i/>
        <vertAlign val="subscript"/>
        <sz val="10"/>
        <color theme="1"/>
        <rFont val="Calibri"/>
        <family val="2"/>
        <scheme val="minor"/>
      </rPr>
      <t>T</t>
    </r>
    <r>
      <rPr>
        <b/>
        <i/>
        <sz val="10"/>
        <color theme="1"/>
        <rFont val="Calibri"/>
        <family val="2"/>
        <scheme val="minor"/>
      </rPr>
      <t>)</t>
    </r>
  </si>
  <si>
    <r>
      <t>Pct. Points (RP</t>
    </r>
    <r>
      <rPr>
        <b/>
        <i/>
        <vertAlign val="subscript"/>
        <sz val="10"/>
        <color theme="1"/>
        <rFont val="Calibri"/>
        <family val="2"/>
        <scheme val="minor"/>
      </rPr>
      <t>P</t>
    </r>
    <r>
      <rPr>
        <b/>
        <i/>
        <sz val="10"/>
        <color theme="1"/>
        <rFont val="Calibri"/>
        <family val="2"/>
        <scheme val="minor"/>
      </rPr>
      <t>)</t>
    </r>
  </si>
  <si>
    <r>
      <t>VAM Points (ISP</t>
    </r>
    <r>
      <rPr>
        <b/>
        <i/>
        <vertAlign val="subscript"/>
        <sz val="10"/>
        <color theme="1"/>
        <rFont val="Calibri"/>
        <family val="2"/>
        <scheme val="minor"/>
      </rPr>
      <t>Sch</t>
    </r>
    <r>
      <rPr>
        <b/>
        <i/>
        <sz val="10"/>
        <color theme="1"/>
        <rFont val="Calibri"/>
        <family val="2"/>
        <scheme val="minor"/>
      </rPr>
      <t>)</t>
    </r>
  </si>
  <si>
    <r>
      <t xml:space="preserve">Number in </t>
    </r>
    <r>
      <rPr>
        <b/>
        <sz val="11"/>
        <color theme="1"/>
        <rFont val="Calibri"/>
        <family val="2"/>
        <scheme val="minor"/>
      </rPr>
      <t>PAB 6</t>
    </r>
    <r>
      <rPr>
        <sz val="11"/>
        <color theme="1"/>
        <rFont val="Calibri"/>
        <family val="2"/>
        <scheme val="minor"/>
      </rPr>
      <t xml:space="preserve"> (</t>
    </r>
    <r>
      <rPr>
        <b/>
        <i/>
        <sz val="11"/>
        <color theme="1"/>
        <rFont val="Calibri"/>
        <family val="2"/>
        <scheme val="minor"/>
      </rPr>
      <t>55</t>
    </r>
    <r>
      <rPr>
        <i/>
        <sz val="11"/>
        <color theme="1"/>
        <rFont val="Calibri"/>
        <family val="2"/>
        <scheme val="minor"/>
      </rPr>
      <t xml:space="preserve"> CGP</t>
    </r>
    <r>
      <rPr>
        <sz val="11"/>
        <color theme="1"/>
        <rFont val="Calibri"/>
        <family val="2"/>
        <scheme val="minor"/>
      </rPr>
      <t>) projected:</t>
    </r>
  </si>
  <si>
    <r>
      <t xml:space="preserve">Number in </t>
    </r>
    <r>
      <rPr>
        <b/>
        <sz val="11"/>
        <color theme="1"/>
        <rFont val="Calibri"/>
        <family val="2"/>
        <scheme val="minor"/>
      </rPr>
      <t>PAB 5</t>
    </r>
    <r>
      <rPr>
        <sz val="11"/>
        <color theme="1"/>
        <rFont val="Calibri"/>
        <family val="2"/>
        <scheme val="minor"/>
      </rPr>
      <t xml:space="preserve"> (</t>
    </r>
    <r>
      <rPr>
        <b/>
        <sz val="11"/>
        <color theme="1"/>
        <rFont val="Calibri"/>
        <family val="2"/>
        <scheme val="minor"/>
      </rPr>
      <t>60</t>
    </r>
    <r>
      <rPr>
        <i/>
        <sz val="11"/>
        <color theme="1"/>
        <rFont val="Calibri"/>
        <family val="2"/>
        <scheme val="minor"/>
      </rPr>
      <t xml:space="preserve"> CGP</t>
    </r>
    <r>
      <rPr>
        <sz val="11"/>
        <color theme="1"/>
        <rFont val="Calibri"/>
        <family val="2"/>
        <scheme val="minor"/>
      </rPr>
      <t>) projected:</t>
    </r>
  </si>
  <si>
    <r>
      <t xml:space="preserve">Number in </t>
    </r>
    <r>
      <rPr>
        <b/>
        <sz val="11"/>
        <color theme="1"/>
        <rFont val="Calibri"/>
        <family val="2"/>
        <scheme val="minor"/>
      </rPr>
      <t>PAB 4</t>
    </r>
    <r>
      <rPr>
        <sz val="11"/>
        <color theme="1"/>
        <rFont val="Calibri"/>
        <family val="2"/>
        <scheme val="minor"/>
      </rPr>
      <t xml:space="preserve"> (</t>
    </r>
    <r>
      <rPr>
        <b/>
        <i/>
        <sz val="11"/>
        <color theme="1"/>
        <rFont val="Calibri"/>
        <family val="2"/>
        <scheme val="minor"/>
      </rPr>
      <t>65</t>
    </r>
    <r>
      <rPr>
        <i/>
        <sz val="11"/>
        <color theme="1"/>
        <rFont val="Calibri"/>
        <family val="2"/>
        <scheme val="minor"/>
      </rPr>
      <t xml:space="preserve"> CGP</t>
    </r>
    <r>
      <rPr>
        <sz val="11"/>
        <color theme="1"/>
        <rFont val="Calibri"/>
        <family val="2"/>
        <scheme val="minor"/>
      </rPr>
      <t>) projected:</t>
    </r>
  </si>
  <si>
    <r>
      <t xml:space="preserve">Number in </t>
    </r>
    <r>
      <rPr>
        <b/>
        <sz val="11"/>
        <color theme="1"/>
        <rFont val="Calibri"/>
        <family val="2"/>
        <scheme val="minor"/>
      </rPr>
      <t>PAB 3</t>
    </r>
    <r>
      <rPr>
        <sz val="11"/>
        <color theme="1"/>
        <rFont val="Calibri"/>
        <family val="2"/>
        <scheme val="minor"/>
      </rPr>
      <t xml:space="preserve"> (</t>
    </r>
    <r>
      <rPr>
        <b/>
        <i/>
        <sz val="11"/>
        <color theme="1"/>
        <rFont val="Calibri"/>
        <family val="2"/>
        <scheme val="minor"/>
      </rPr>
      <t>70</t>
    </r>
    <r>
      <rPr>
        <i/>
        <sz val="11"/>
        <color theme="1"/>
        <rFont val="Calibri"/>
        <family val="2"/>
        <scheme val="minor"/>
      </rPr>
      <t xml:space="preserve"> CGP</t>
    </r>
    <r>
      <rPr>
        <sz val="11"/>
        <color theme="1"/>
        <rFont val="Calibri"/>
        <family val="2"/>
        <scheme val="minor"/>
      </rPr>
      <t>) projected:</t>
    </r>
  </si>
  <si>
    <r>
      <t>Number in</t>
    </r>
    <r>
      <rPr>
        <b/>
        <sz val="11"/>
        <color theme="1"/>
        <rFont val="Calibri"/>
        <family val="2"/>
        <scheme val="minor"/>
      </rPr>
      <t xml:space="preserve"> PAB 2</t>
    </r>
    <r>
      <rPr>
        <sz val="11"/>
        <color theme="1"/>
        <rFont val="Calibri"/>
        <family val="2"/>
        <scheme val="minor"/>
      </rPr>
      <t xml:space="preserve"> (</t>
    </r>
    <r>
      <rPr>
        <b/>
        <i/>
        <sz val="11"/>
        <color theme="1"/>
        <rFont val="Calibri"/>
        <family val="2"/>
        <scheme val="minor"/>
      </rPr>
      <t>75</t>
    </r>
    <r>
      <rPr>
        <i/>
        <sz val="11"/>
        <color theme="1"/>
        <rFont val="Calibri"/>
        <family val="2"/>
        <scheme val="minor"/>
      </rPr>
      <t xml:space="preserve"> CGP</t>
    </r>
    <r>
      <rPr>
        <sz val="11"/>
        <color theme="1"/>
        <rFont val="Calibri"/>
        <family val="2"/>
        <scheme val="minor"/>
      </rPr>
      <t>) projected:</t>
    </r>
  </si>
  <si>
    <r>
      <t xml:space="preserve">Number in </t>
    </r>
    <r>
      <rPr>
        <b/>
        <sz val="11"/>
        <color theme="1"/>
        <rFont val="Calibri"/>
        <family val="2"/>
        <scheme val="minor"/>
      </rPr>
      <t>PAB 1</t>
    </r>
    <r>
      <rPr>
        <sz val="11"/>
        <color theme="1"/>
        <rFont val="Calibri"/>
        <family val="2"/>
        <scheme val="minor"/>
      </rPr>
      <t xml:space="preserve"> (</t>
    </r>
    <r>
      <rPr>
        <b/>
        <i/>
        <sz val="11"/>
        <color theme="1"/>
        <rFont val="Calibri"/>
        <family val="2"/>
        <scheme val="minor"/>
      </rPr>
      <t>80</t>
    </r>
    <r>
      <rPr>
        <i/>
        <sz val="11"/>
        <color theme="1"/>
        <rFont val="Calibri"/>
        <family val="2"/>
        <scheme val="minor"/>
      </rPr>
      <t xml:space="preserve"> CGP</t>
    </r>
    <r>
      <rPr>
        <sz val="11"/>
        <color theme="1"/>
        <rFont val="Calibri"/>
        <family val="2"/>
        <scheme val="minor"/>
      </rPr>
      <t>) projected:</t>
    </r>
  </si>
  <si>
    <t>ELA &lt; MAT</t>
  </si>
  <si>
    <t>ELA ≥ MAT</t>
  </si>
  <si>
    <t>ELA ≥ AVT</t>
  </si>
  <si>
    <t>ELA Partial AVT</t>
  </si>
  <si>
    <t>ELA SC READY Projections</t>
  </si>
  <si>
    <t>Mathematics SC READY Projections</t>
  </si>
  <si>
    <t>Math &lt; MAT</t>
  </si>
  <si>
    <t>Math ≥ MAT</t>
  </si>
  <si>
    <t>Math ≥ AVT</t>
  </si>
  <si>
    <t>Math Partial AVT</t>
  </si>
  <si>
    <r>
      <rPr>
        <b/>
        <i/>
        <sz val="9"/>
        <color theme="1"/>
        <rFont val="Calibri"/>
        <family val="2"/>
        <scheme val="minor"/>
      </rPr>
      <t>Notes:</t>
    </r>
    <r>
      <rPr>
        <i/>
        <sz val="9"/>
        <color theme="1"/>
        <rFont val="Calibri"/>
        <family val="2"/>
        <scheme val="minor"/>
      </rPr>
      <t xml:space="preserve"> In the first column, enter the number of students who are projected to score below their MAT </t>
    </r>
    <r>
      <rPr>
        <b/>
        <i/>
        <sz val="9"/>
        <color theme="1"/>
        <rFont val="Calibri"/>
        <family val="2"/>
        <scheme val="minor"/>
      </rPr>
      <t>and</t>
    </r>
    <r>
      <rPr>
        <i/>
        <sz val="9"/>
        <color theme="1"/>
        <rFont val="Calibri"/>
        <family val="2"/>
        <scheme val="minor"/>
      </rPr>
      <t xml:space="preserve"> below their AVT; in the middle column, enter </t>
    </r>
    <r>
      <rPr>
        <b/>
        <i/>
        <sz val="9"/>
        <color theme="1"/>
        <rFont val="Calibri"/>
        <family val="2"/>
        <scheme val="minor"/>
      </rPr>
      <t>all</t>
    </r>
    <r>
      <rPr>
        <i/>
        <sz val="9"/>
        <color theme="1"/>
        <rFont val="Calibri"/>
        <family val="2"/>
        <scheme val="minor"/>
      </rPr>
      <t xml:space="preserve"> students projected to score above their MAT (</t>
    </r>
    <r>
      <rPr>
        <i/>
        <u/>
        <sz val="9"/>
        <color theme="1"/>
        <rFont val="Calibri"/>
        <family val="2"/>
        <scheme val="minor"/>
      </rPr>
      <t>including</t>
    </r>
    <r>
      <rPr>
        <i/>
        <sz val="9"/>
        <color theme="1"/>
        <rFont val="Calibri"/>
        <family val="2"/>
        <scheme val="minor"/>
      </rPr>
      <t xml:space="preserve"> those projected to score above their AVT, as well); and in the final column, enter the students who are projected to score above their AVT. The number of students projected to earn Partial AV Points is calculated as Culumn H minus Column I. All students projected to earn Partial AV Points are estimated to earn half of the Partial AV Points available to them. You may wish to estimate VAM Points by referring to School Report Cards from previous years and adjusting based on current year data.</t>
    </r>
  </si>
  <si>
    <t>ELA Growth Records Included:</t>
  </si>
  <si>
    <t>Math Growth Records Included:</t>
  </si>
  <si>
    <t>Preparing for Success</t>
  </si>
  <si>
    <r>
      <rPr>
        <b/>
        <i/>
        <sz val="9"/>
        <color theme="1"/>
        <rFont val="Calibri"/>
        <family val="2"/>
        <scheme val="minor"/>
      </rPr>
      <t>Notes:</t>
    </r>
    <r>
      <rPr>
        <i/>
        <sz val="9"/>
        <color theme="1"/>
        <rFont val="Calibri"/>
        <family val="2"/>
        <scheme val="minor"/>
      </rPr>
      <t xml:space="preserve"> Do not include students with a properly documented exclusion in the number projected for Not Tested. Participation rate is </t>
    </r>
    <r>
      <rPr>
        <b/>
        <i/>
        <u/>
        <sz val="9"/>
        <color theme="1"/>
        <rFont val="Calibri"/>
        <family val="2"/>
        <scheme val="minor"/>
      </rPr>
      <t>estimated</t>
    </r>
    <r>
      <rPr>
        <i/>
        <sz val="9"/>
        <color theme="1"/>
        <rFont val="Calibri"/>
        <family val="2"/>
        <scheme val="minor"/>
      </rPr>
      <t>, based on the information entered, as the percent of required tests that were taken. Consult the accountability manual for the correct calculation methods. Per the requirements of subparagraph 1111(c)(4)(E)(i) of ESSA, if a school tests fewer than 95 percent of eligible students, then the school's Rating in Academic Achievement shall be reduced by five (5) points and the school shall also not eligible for the highest overall rating level. The adjustments listed in the manual are applied to the estimates in this workbook. Schools that test fewer than 95 percent of eligible students must submit a plan to the SCDE outlining how the school will increase the percentage of students tested.</t>
    </r>
  </si>
  <si>
    <t>Science</t>
  </si>
  <si>
    <t>Social Studies</t>
  </si>
  <si>
    <t>―</t>
  </si>
  <si>
    <t>Multilingual Learners’ Progress</t>
  </si>
  <si>
    <t>Number of continuously-enrolled MLs not tested:</t>
  </si>
  <si>
    <t>Showing Progress:</t>
  </si>
  <si>
    <t>School Climate</t>
  </si>
  <si>
    <t>Multilingual Learners’ Progress:</t>
  </si>
  <si>
    <t>Academic Achievement:</t>
  </si>
  <si>
    <t>Student Progress:</t>
  </si>
  <si>
    <t>Preparing for Success:</t>
  </si>
  <si>
    <t>School Climate:</t>
  </si>
  <si>
    <t>Points:</t>
  </si>
  <si>
    <t>Out of:</t>
  </si>
  <si>
    <t>Weight:</t>
  </si>
  <si>
    <t>Est. Overall Points</t>
  </si>
  <si>
    <t>Est. ES Overall Rating</t>
  </si>
  <si>
    <t>TotalES</t>
  </si>
  <si>
    <t>TotalMS</t>
  </si>
  <si>
    <t>Est. MS Overall Rating</t>
  </si>
  <si>
    <r>
      <rPr>
        <b/>
        <i/>
        <sz val="9"/>
        <color theme="1"/>
        <rFont val="Calibri"/>
        <family val="2"/>
        <scheme val="minor"/>
      </rPr>
      <t>Notes:</t>
    </r>
    <r>
      <rPr>
        <i/>
        <sz val="9"/>
        <color theme="1"/>
        <rFont val="Calibri"/>
        <family val="2"/>
        <scheme val="minor"/>
      </rPr>
      <t xml:space="preserve"> Enter the estimated Rating Points received for the School Climate indicator according to the information presented in the accountability manual. A future update of this simulator may include additional fields in this area that allows users to enter information from the Qualtrics Climate Survey Dashboards to produce a more accurate estimate. In the meantime, feel free to make projections based on previous years' survey data at this school. If the school does not receive a School Climate rating, leave this cell blank.</t>
    </r>
  </si>
  <si>
    <t>Cut Scores for Indicator and Overall Ratings (DO NOT MODIFY)</t>
  </si>
  <si>
    <r>
      <t xml:space="preserve">Note: </t>
    </r>
    <r>
      <rPr>
        <i/>
        <sz val="9"/>
        <color theme="1"/>
        <rFont val="Calibri"/>
        <family val="2"/>
        <scheme val="minor"/>
      </rPr>
      <t>Changes in the 2021 South Carolina College- and Career-Ready Science Standards from the 2014 science standards required revisions to the SC READY Science assessment. South Carolina has requested that the US Department of Education (USDE) waive the requirement to include the SC READY Science test in accountability ratings for Elementary and Middle Schools (as described in the current Federally Approved Consolidated State Plan) for 2024 Report Cards to allow scoring procedures for the new SC READY Science test to be properly calibrated before being used to assign Ratings. This request has been approved by USDE. Therefore, the following changes will be made to what is described in this Accountability Manual:
1.    The Preparing for Success indicator will not be calculated or reported on 2024 Report Cards for Elementary or Middle Schools.
2.    The Rating Points associated with the Preparing for Success indicator for Elementary and Middle Schools will be reallocated to weight of the Academic Achievement and Student Progress indicators using the procedures described in the  When a School Cannot Receive One or More Indicators section.
3.    The participation rate at the school will be calculated according to Step 6 through Step 10 of the How Rating Points are Earned for the Indicator section in the accountability manual. If the participation rate for the school is less than 95%, then the school’s Overall Rating shall be reduced by 5 points (see Table 2). Enter an estimated participation rate to include this penalty (or lack thereof) in your projection.</t>
    </r>
  </si>
  <si>
    <t>Number of MLs projected to meet or exceed progress target:</t>
  </si>
  <si>
    <t>TotalHS</t>
  </si>
  <si>
    <t>AAHS</t>
  </si>
  <si>
    <t>PfSHS</t>
  </si>
  <si>
    <t>SCHS</t>
  </si>
  <si>
    <t>MLPHS</t>
  </si>
  <si>
    <t>GRHS</t>
  </si>
  <si>
    <t>CCRHS</t>
  </si>
  <si>
    <t>HSSS</t>
  </si>
  <si>
    <t>High School Student Success:</t>
  </si>
  <si>
    <t>Graduation Rate:</t>
  </si>
  <si>
    <t>College &amp; Career Readiness:</t>
  </si>
  <si>
    <t>English 2</t>
  </si>
  <si>
    <t>Algebra 1</t>
  </si>
  <si>
    <t>Percent Passing:</t>
  </si>
  <si>
    <r>
      <t xml:space="preserve">Number Projected to Earn a B (or </t>
    </r>
    <r>
      <rPr>
        <i/>
        <sz val="11"/>
        <color theme="1"/>
        <rFont val="Calibri"/>
        <family val="2"/>
        <scheme val="minor"/>
      </rPr>
      <t>Exceeds</t>
    </r>
    <r>
      <rPr>
        <sz val="11"/>
        <color theme="1"/>
        <rFont val="Calibri"/>
        <family val="2"/>
        <scheme val="minor"/>
      </rPr>
      <t xml:space="preserve"> on ALT):</t>
    </r>
  </si>
  <si>
    <r>
      <t xml:space="preserve">Number Projected to Earn a C (or </t>
    </r>
    <r>
      <rPr>
        <i/>
        <sz val="11"/>
        <color theme="1"/>
        <rFont val="Calibri"/>
        <family val="2"/>
        <scheme val="minor"/>
      </rPr>
      <t>Meets</t>
    </r>
    <r>
      <rPr>
        <sz val="11"/>
        <color theme="1"/>
        <rFont val="Calibri"/>
        <family val="2"/>
        <scheme val="minor"/>
      </rPr>
      <t xml:space="preserve"> on ALT):</t>
    </r>
  </si>
  <si>
    <r>
      <t xml:space="preserve">Number Projected to Earn a D (or </t>
    </r>
    <r>
      <rPr>
        <i/>
        <sz val="11"/>
        <color theme="1"/>
        <rFont val="Calibri"/>
        <family val="2"/>
        <scheme val="minor"/>
      </rPr>
      <t>Approaches</t>
    </r>
    <r>
      <rPr>
        <sz val="11"/>
        <color theme="1"/>
        <rFont val="Calibri"/>
        <family val="2"/>
        <scheme val="minor"/>
      </rPr>
      <t xml:space="preserve"> on ALT):</t>
    </r>
  </si>
  <si>
    <r>
      <t xml:space="preserve">Number Projected to Earn an F (or </t>
    </r>
    <r>
      <rPr>
        <i/>
        <sz val="11"/>
        <color theme="1"/>
        <rFont val="Calibri"/>
        <family val="2"/>
        <scheme val="minor"/>
      </rPr>
      <t>Does Not Meet</t>
    </r>
    <r>
      <rPr>
        <sz val="11"/>
        <color theme="1"/>
        <rFont val="Calibri"/>
        <family val="2"/>
        <scheme val="minor"/>
      </rPr>
      <t xml:space="preserve"> on ALT):</t>
    </r>
  </si>
  <si>
    <t>Number of Students Expected to take the ALT:</t>
  </si>
  <si>
    <t>Number of Students Expected to take the EOCEP:</t>
  </si>
  <si>
    <t>Number of Students Projected to Earn an A:</t>
  </si>
  <si>
    <t>Est. Rating</t>
  </si>
  <si>
    <t>Est. Overall Rating</t>
  </si>
  <si>
    <t>HS</t>
  </si>
  <si>
    <t>Biology 1 Participation Rate:</t>
  </si>
  <si>
    <t>USH&amp;C</t>
  </si>
  <si>
    <t>Biology 1</t>
  </si>
  <si>
    <r>
      <rPr>
        <b/>
        <i/>
        <sz val="9"/>
        <color theme="1"/>
        <rFont val="Calibri"/>
        <family val="2"/>
        <scheme val="minor"/>
      </rPr>
      <t>Notes:</t>
    </r>
    <r>
      <rPr>
        <i/>
        <sz val="9"/>
        <color theme="1"/>
        <rFont val="Calibri"/>
        <family val="2"/>
        <scheme val="minor"/>
      </rPr>
      <t xml:space="preserve"> Do not include students with a properly documented exclusion in the number projected for Not Tested. Participation rate is </t>
    </r>
    <r>
      <rPr>
        <b/>
        <i/>
        <u/>
        <sz val="9"/>
        <color theme="1"/>
        <rFont val="Calibri"/>
        <family val="2"/>
        <scheme val="minor"/>
      </rPr>
      <t>estimated</t>
    </r>
    <r>
      <rPr>
        <i/>
        <sz val="9"/>
        <color theme="1"/>
        <rFont val="Calibri"/>
        <family val="2"/>
        <scheme val="minor"/>
      </rPr>
      <t>, based on the information entered, as the percent of required Biology 1 tests that were taken. Consult the accountability manual for the correct calculation methods. Schools that test fewer than 95 percent of eligible students must submit a plan to the SCDE outlining how the school will increase the percentage of students tested.</t>
    </r>
  </si>
  <si>
    <t>Graduation Rate</t>
  </si>
  <si>
    <t>Number of Students Included in the Indicator:</t>
  </si>
  <si>
    <t>Number of students projected to graduate:</t>
  </si>
  <si>
    <r>
      <rPr>
        <b/>
        <i/>
        <sz val="9"/>
        <color theme="1"/>
        <rFont val="Calibri"/>
        <family val="2"/>
        <scheme val="minor"/>
      </rPr>
      <t>Notes:</t>
    </r>
    <r>
      <rPr>
        <i/>
        <sz val="9"/>
        <color theme="1"/>
        <rFont val="Calibri"/>
        <family val="2"/>
        <scheme val="minor"/>
      </rPr>
      <t xml:space="preserve"> Include early and on-time graduates in cell </t>
    </r>
    <r>
      <rPr>
        <sz val="9"/>
        <color theme="1"/>
        <rFont val="Calibri"/>
        <family val="2"/>
        <scheme val="minor"/>
      </rPr>
      <t>H49</t>
    </r>
    <r>
      <rPr>
        <i/>
        <sz val="9"/>
        <color theme="1"/>
        <rFont val="Calibri"/>
        <family val="2"/>
        <scheme val="minor"/>
      </rPr>
      <t xml:space="preserve">. Include </t>
    </r>
    <r>
      <rPr>
        <b/>
        <i/>
        <sz val="9"/>
        <color theme="1"/>
        <rFont val="Calibri"/>
        <family val="2"/>
        <scheme val="minor"/>
      </rPr>
      <t>ALL</t>
    </r>
    <r>
      <rPr>
        <i/>
        <sz val="9"/>
        <color theme="1"/>
        <rFont val="Calibri"/>
        <family val="2"/>
        <scheme val="minor"/>
      </rPr>
      <t xml:space="preserve"> students in the graduating cohort, regardless of outcome or status, in </t>
    </r>
    <r>
      <rPr>
        <sz val="9"/>
        <color theme="1"/>
        <rFont val="Calibri"/>
        <family val="2"/>
        <scheme val="minor"/>
      </rPr>
      <t>H50</t>
    </r>
    <r>
      <rPr>
        <i/>
        <sz val="9"/>
        <color theme="1"/>
        <rFont val="Calibri"/>
        <family val="2"/>
        <scheme val="minor"/>
      </rPr>
      <t>.</t>
    </r>
  </si>
  <si>
    <r>
      <t xml:space="preserve">Number of students included in the </t>
    </r>
    <r>
      <rPr>
        <b/>
        <sz val="11"/>
        <color theme="1"/>
        <rFont val="Calibri"/>
        <family val="2"/>
        <scheme val="minor"/>
      </rPr>
      <t>9GR21</t>
    </r>
    <r>
      <rPr>
        <sz val="11"/>
        <color theme="1"/>
        <rFont val="Calibri"/>
        <family val="2"/>
        <scheme val="minor"/>
      </rPr>
      <t xml:space="preserve"> chohort:</t>
    </r>
  </si>
  <si>
    <r>
      <rPr>
        <b/>
        <i/>
        <sz val="9"/>
        <color theme="1"/>
        <rFont val="Calibri"/>
        <family val="2"/>
        <scheme val="minor"/>
      </rPr>
      <t>Notes:</t>
    </r>
    <r>
      <rPr>
        <i/>
        <sz val="9"/>
        <color theme="1"/>
        <rFont val="Calibri"/>
        <family val="2"/>
        <scheme val="minor"/>
      </rPr>
      <t xml:space="preserve"> Continuously-enrolled MLs who are not tested have </t>
    </r>
    <r>
      <rPr>
        <b/>
        <i/>
        <sz val="9"/>
        <color theme="1"/>
        <rFont val="Calibri"/>
        <family val="2"/>
        <scheme val="minor"/>
      </rPr>
      <t>not</t>
    </r>
    <r>
      <rPr>
        <i/>
        <sz val="9"/>
        <color theme="1"/>
        <rFont val="Calibri"/>
        <family val="2"/>
        <scheme val="minor"/>
      </rPr>
      <t xml:space="preserve"> demonstrated progress.</t>
    </r>
  </si>
  <si>
    <r>
      <t xml:space="preserve">Number of continuously-enrolled MLs </t>
    </r>
    <r>
      <rPr>
        <b/>
        <i/>
        <sz val="11"/>
        <color theme="1"/>
        <rFont val="Calibri"/>
        <family val="2"/>
        <scheme val="minor"/>
      </rPr>
      <t>required</t>
    </r>
    <r>
      <rPr>
        <sz val="11"/>
        <color theme="1"/>
        <rFont val="Calibri"/>
        <family val="2"/>
        <scheme val="minor"/>
      </rPr>
      <t xml:space="preserve"> to test:</t>
    </r>
  </si>
  <si>
    <t>College &amp; Career Readiness</t>
  </si>
  <si>
    <t>Total score ≥ 1020 on the SAT:</t>
  </si>
  <si>
    <t>Composite score ≥ 20 on the ACT:</t>
  </si>
  <si>
    <r>
      <t xml:space="preserve">Complete </t>
    </r>
    <r>
      <rPr>
        <sz val="11"/>
        <color theme="1"/>
        <rFont val="Calibri"/>
        <family val="2"/>
      </rPr>
      <t xml:space="preserve">≥ </t>
    </r>
    <r>
      <rPr>
        <sz val="11"/>
        <color theme="1"/>
        <rFont val="Calibri"/>
        <family val="2"/>
        <scheme val="minor"/>
      </rPr>
      <t>6 approved dual enrollment courses credits with ≥ C:</t>
    </r>
  </si>
  <si>
    <t>Score ≥ C on approved Cambridge International exam:</t>
  </si>
  <si>
    <t>Score ≥ 3 on an Advanced Placement (AP) exam:</t>
  </si>
  <si>
    <t>≥ 4 on International Baccalaureate (IB) higher learning (HL) exam:</t>
  </si>
  <si>
    <t>College Ready Designations</t>
  </si>
  <si>
    <t>CTE Completers w/ credential:</t>
  </si>
  <si>
    <t>Qualifying score on career readiness test:</t>
  </si>
  <si>
    <r>
      <t xml:space="preserve">Score </t>
    </r>
    <r>
      <rPr>
        <sz val="11"/>
        <color theme="1"/>
        <rFont val="Calibri"/>
        <family val="2"/>
      </rPr>
      <t>≥ 31 on ASVAB:</t>
    </r>
  </si>
  <si>
    <t>Complete state-approved work-based learning:</t>
  </si>
  <si>
    <t>Earn SC High School Employability Credential:</t>
  </si>
  <si>
    <t>Career Ready Designations</t>
  </si>
  <si>
    <t>Overall Projections</t>
  </si>
  <si>
    <r>
      <t xml:space="preserve">Projected to be College </t>
    </r>
    <r>
      <rPr>
        <b/>
        <i/>
        <sz val="8"/>
        <color theme="1"/>
        <rFont val="Calibri"/>
        <family val="2"/>
        <scheme val="minor"/>
      </rPr>
      <t>AND</t>
    </r>
    <r>
      <rPr>
        <sz val="8"/>
        <color theme="1"/>
        <rFont val="Calibri"/>
        <family val="2"/>
        <scheme val="minor"/>
      </rPr>
      <t xml:space="preserve"> Career Ready:</t>
    </r>
  </si>
  <si>
    <r>
      <t xml:space="preserve">Students Projected to be </t>
    </r>
    <r>
      <rPr>
        <b/>
        <sz val="8"/>
        <color theme="1"/>
        <rFont val="Calibri"/>
        <family val="2"/>
        <scheme val="minor"/>
      </rPr>
      <t>Career Ready</t>
    </r>
    <r>
      <rPr>
        <sz val="8"/>
        <color theme="1"/>
        <rFont val="Calibri"/>
        <family val="2"/>
        <scheme val="minor"/>
      </rPr>
      <t>:</t>
    </r>
  </si>
  <si>
    <r>
      <t xml:space="preserve">Students Projected to be </t>
    </r>
    <r>
      <rPr>
        <b/>
        <sz val="8"/>
        <color theme="1"/>
        <rFont val="Calibri"/>
        <family val="2"/>
        <scheme val="minor"/>
      </rPr>
      <t>College Ready</t>
    </r>
    <r>
      <rPr>
        <sz val="8"/>
        <color theme="1"/>
        <rFont val="Calibri"/>
        <family val="2"/>
        <scheme val="minor"/>
      </rPr>
      <t>:</t>
    </r>
  </si>
  <si>
    <r>
      <t xml:space="preserve">Students Projected to be College </t>
    </r>
    <r>
      <rPr>
        <b/>
        <i/>
        <sz val="8"/>
        <color theme="1"/>
        <rFont val="Calibri"/>
        <family val="2"/>
        <scheme val="minor"/>
      </rPr>
      <t>OR</t>
    </r>
    <r>
      <rPr>
        <sz val="8"/>
        <color theme="1"/>
        <rFont val="Calibri"/>
        <family val="2"/>
        <scheme val="minor"/>
      </rPr>
      <t xml:space="preserve"> Career Ready:</t>
    </r>
  </si>
  <si>
    <r>
      <rPr>
        <b/>
        <i/>
        <sz val="9"/>
        <color theme="1"/>
        <rFont val="Calibri"/>
        <family val="2"/>
        <scheme val="minor"/>
      </rPr>
      <t>Notes:</t>
    </r>
    <r>
      <rPr>
        <i/>
        <sz val="9"/>
        <color theme="1"/>
        <rFont val="Calibri"/>
        <family val="2"/>
        <scheme val="minor"/>
      </rPr>
      <t xml:space="preserve"> Estimated points and ratings use </t>
    </r>
    <r>
      <rPr>
        <b/>
        <i/>
        <sz val="9"/>
        <color theme="1"/>
        <rFont val="Calibri"/>
        <family val="2"/>
        <scheme val="minor"/>
      </rPr>
      <t>only</t>
    </r>
    <r>
      <rPr>
        <i/>
        <sz val="9"/>
        <color theme="1"/>
        <rFont val="Calibri"/>
        <family val="2"/>
        <scheme val="minor"/>
      </rPr>
      <t xml:space="preserve"> the number of students in the graduating cohort (cell </t>
    </r>
    <r>
      <rPr>
        <sz val="9"/>
        <color theme="1"/>
        <rFont val="Calibri"/>
        <family val="2"/>
        <scheme val="minor"/>
      </rPr>
      <t>H50</t>
    </r>
    <r>
      <rPr>
        <i/>
        <sz val="9"/>
        <color theme="1"/>
        <rFont val="Calibri"/>
        <family val="2"/>
        <scheme val="minor"/>
      </rPr>
      <t xml:space="preserve">) and the number of students designated as either college or carreer ready (cell </t>
    </r>
    <r>
      <rPr>
        <sz val="9"/>
        <color theme="1"/>
        <rFont val="Calibri"/>
        <family val="2"/>
        <scheme val="minor"/>
      </rPr>
      <t>J54</t>
    </r>
    <r>
      <rPr>
        <i/>
        <sz val="9"/>
        <color theme="1"/>
        <rFont val="Calibri"/>
        <family val="2"/>
        <scheme val="minor"/>
      </rPr>
      <t>). All other cells are provided for your own use and reference.</t>
    </r>
  </si>
  <si>
    <t>1st-year students projected to be on track:</t>
  </si>
  <si>
    <t>2nd-year projected to be on track:</t>
  </si>
  <si>
    <t>3rd-year students projected to be on track:</t>
  </si>
  <si>
    <t>1YOTG</t>
  </si>
  <si>
    <t>2YOTG</t>
  </si>
  <si>
    <t>High School Student Success</t>
  </si>
  <si>
    <t>3YOTG</t>
  </si>
  <si>
    <t>5YSSR</t>
  </si>
  <si>
    <t>Successful HS outcome within 5 years:</t>
  </si>
  <si>
    <t>Percent of students on-track or successful:</t>
  </si>
  <si>
    <t>Number of students included in the indicator:</t>
  </si>
  <si>
    <r>
      <rPr>
        <b/>
        <i/>
        <sz val="9"/>
        <color theme="1"/>
        <rFont val="Calibri"/>
        <family val="2"/>
        <scheme val="minor"/>
      </rPr>
      <t>Notes:</t>
    </r>
    <r>
      <rPr>
        <i/>
        <sz val="9"/>
        <color theme="1"/>
        <rFont val="Calibri"/>
        <family val="2"/>
        <scheme val="minor"/>
      </rPr>
      <t xml:space="preserve"> On 2024 School Report Cards, only </t>
    </r>
    <r>
      <rPr>
        <b/>
        <i/>
        <sz val="9"/>
        <color theme="1"/>
        <rFont val="Calibri"/>
        <family val="2"/>
        <scheme val="minor"/>
      </rPr>
      <t>1YOTG</t>
    </r>
    <r>
      <rPr>
        <i/>
        <sz val="9"/>
        <color theme="1"/>
        <rFont val="Calibri"/>
        <family val="2"/>
        <scheme val="minor"/>
      </rPr>
      <t xml:space="preserve"> and </t>
    </r>
    <r>
      <rPr>
        <b/>
        <i/>
        <sz val="9"/>
        <color theme="1"/>
        <rFont val="Calibri"/>
        <family val="2"/>
        <scheme val="minor"/>
      </rPr>
      <t>5YSSR</t>
    </r>
    <r>
      <rPr>
        <i/>
        <sz val="9"/>
        <color theme="1"/>
        <rFont val="Calibri"/>
        <family val="2"/>
        <scheme val="minor"/>
      </rPr>
      <t xml:space="preserve"> contribute to points and ratings.  Data for </t>
    </r>
    <r>
      <rPr>
        <b/>
        <i/>
        <sz val="9"/>
        <color theme="1"/>
        <rFont val="Calibri"/>
        <family val="2"/>
        <scheme val="minor"/>
      </rPr>
      <t>2YOTG</t>
    </r>
    <r>
      <rPr>
        <i/>
        <sz val="9"/>
        <color theme="1"/>
        <rFont val="Calibri"/>
        <family val="2"/>
        <scheme val="minor"/>
      </rPr>
      <t xml:space="preserve"> will be displayed on School Report Cards this year, but will not impact points or ratings.  Both the </t>
    </r>
    <r>
      <rPr>
        <b/>
        <i/>
        <sz val="9"/>
        <color theme="1"/>
        <rFont val="Calibri"/>
        <family val="2"/>
        <scheme val="minor"/>
      </rPr>
      <t>2YOTG</t>
    </r>
    <r>
      <rPr>
        <i/>
        <sz val="9"/>
        <color theme="1"/>
        <rFont val="Calibri"/>
        <family val="2"/>
        <scheme val="minor"/>
      </rPr>
      <t xml:space="preserve"> and the </t>
    </r>
    <r>
      <rPr>
        <b/>
        <i/>
        <sz val="9"/>
        <color theme="1"/>
        <rFont val="Calibri"/>
        <family val="2"/>
        <scheme val="minor"/>
      </rPr>
      <t>3YOTG</t>
    </r>
    <r>
      <rPr>
        <i/>
        <sz val="9"/>
        <color theme="1"/>
        <rFont val="Calibri"/>
        <family val="2"/>
        <scheme val="minor"/>
      </rPr>
      <t xml:space="preserve"> areas of this simulator are provided for your own use and reference and have been highlighted with a paler yellow color to indicate that the numbers you enter in these cells are not used in any calulations.  Refer to the 2024 Accountability Manual for details on the requirements for students to be considered on-track or having obtained a successful high school outcome.</t>
    </r>
  </si>
  <si>
    <r>
      <rPr>
        <b/>
        <i/>
        <sz val="10"/>
        <color theme="1"/>
        <rFont val="Calibri"/>
        <family val="2"/>
        <scheme val="minor"/>
      </rPr>
      <t>INSTRUCTIONS:</t>
    </r>
    <r>
      <rPr>
        <i/>
        <sz val="10"/>
        <color theme="1"/>
        <rFont val="Calibri"/>
        <family val="2"/>
        <scheme val="minor"/>
      </rPr>
      <t xml:space="preserve"> Use this spreadsheet to estimate projected School Report Card Ratings based on local data. Enter information into the cells that are highlighted in yellow, </t>
    </r>
    <r>
      <rPr>
        <b/>
        <i/>
        <u/>
        <sz val="10"/>
        <color theme="1"/>
        <rFont val="Calibri"/>
        <family val="2"/>
        <scheme val="minor"/>
      </rPr>
      <t>only</t>
    </r>
    <r>
      <rPr>
        <i/>
        <sz val="10"/>
        <color theme="1"/>
        <rFont val="Calibri"/>
        <family val="2"/>
        <scheme val="minor"/>
      </rPr>
      <t>. All other fields are calculated. The workbook has not been locked or protected so that you may modify it as needed. If you need a fresh copy, you may download it at https://eoc.sc.gov/educators.  Note that high schools without a 12th grade are not rated.  This simulator does not check for that.</t>
    </r>
  </si>
  <si>
    <r>
      <t># students in 1st-year cohort (</t>
    </r>
    <r>
      <rPr>
        <b/>
        <sz val="11"/>
        <color theme="1"/>
        <rFont val="Calibri"/>
        <family val="2"/>
        <scheme val="minor"/>
      </rPr>
      <t>9GR24</t>
    </r>
    <r>
      <rPr>
        <sz val="11"/>
        <color theme="1"/>
        <rFont val="Calibri"/>
        <family val="2"/>
        <scheme val="minor"/>
      </rPr>
      <t>):</t>
    </r>
  </si>
  <si>
    <r>
      <t># students in 2nd-year cohort (</t>
    </r>
    <r>
      <rPr>
        <b/>
        <sz val="11"/>
        <color theme="1"/>
        <rFont val="Calibri"/>
        <family val="2"/>
        <scheme val="minor"/>
      </rPr>
      <t>9GR23</t>
    </r>
    <r>
      <rPr>
        <sz val="11"/>
        <color theme="1"/>
        <rFont val="Calibri"/>
        <family val="2"/>
        <scheme val="minor"/>
      </rPr>
      <t>):</t>
    </r>
  </si>
  <si>
    <r>
      <t># students in 1st-year cohort (</t>
    </r>
    <r>
      <rPr>
        <b/>
        <sz val="11"/>
        <color theme="1"/>
        <rFont val="Calibri"/>
        <family val="2"/>
        <scheme val="minor"/>
      </rPr>
      <t>9GR20</t>
    </r>
    <r>
      <rPr>
        <sz val="11"/>
        <color theme="1"/>
        <rFont val="Calibri"/>
        <family val="2"/>
        <scheme val="minor"/>
      </rPr>
      <t>):</t>
    </r>
  </si>
  <si>
    <r>
      <t># of students in 1st-year cohort (</t>
    </r>
    <r>
      <rPr>
        <b/>
        <sz val="11"/>
        <color theme="1"/>
        <rFont val="Calibri"/>
        <family val="2"/>
        <scheme val="minor"/>
      </rPr>
      <t>9GR22</t>
    </r>
    <r>
      <rPr>
        <sz val="11"/>
        <color theme="1"/>
        <rFont val="Calibri"/>
        <family val="2"/>
        <scheme val="minor"/>
      </rPr>
      <t>):</t>
    </r>
  </si>
  <si>
    <t>Weighted Points:</t>
  </si>
  <si>
    <r>
      <rPr>
        <b/>
        <i/>
        <sz val="9"/>
        <color theme="1"/>
        <rFont val="Calibri"/>
        <family val="2"/>
        <scheme val="minor"/>
      </rPr>
      <t>INSTRUCTIONS:</t>
    </r>
    <r>
      <rPr>
        <i/>
        <sz val="9"/>
        <color theme="1"/>
        <rFont val="Calibri"/>
        <family val="2"/>
        <scheme val="minor"/>
      </rPr>
      <t xml:space="preserve"> Use this spreadsheet to estimate projected School Report Card Ratings based on local data. Enter information into the cells that are highlighted in yellow, </t>
    </r>
    <r>
      <rPr>
        <b/>
        <i/>
        <u/>
        <sz val="9"/>
        <color theme="1"/>
        <rFont val="Calibri"/>
        <family val="2"/>
        <scheme val="minor"/>
      </rPr>
      <t>only</t>
    </r>
    <r>
      <rPr>
        <i/>
        <sz val="9"/>
        <color theme="1"/>
        <rFont val="Calibri"/>
        <family val="2"/>
        <scheme val="minor"/>
      </rPr>
      <t>. All other fields are calculated. The workbook has not been locked or protected so that you may modify it as needed. You may download a fresh copy at https://eoc.sc.gov/educators.</t>
    </r>
  </si>
  <si>
    <r>
      <t>2024 School Report Card Simulator</t>
    </r>
    <r>
      <rPr>
        <sz val="14"/>
        <color theme="1"/>
        <rFont val="Arial"/>
        <family val="2"/>
      </rPr>
      <t xml:space="preserve"> (v 1.4.1; 8/7/2024)</t>
    </r>
  </si>
  <si>
    <t>Wtd. Points: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</si>
</sst>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8" x14ac:knownFonts="1">
    <font>
      <sz val="11"/>
      <color theme="1"/>
      <name val="Calibri"/>
      <family val="2"/>
      <scheme val="minor"/>
    </font>
    <font>
      <sz val="11"/>
      <color theme="1"/>
      <name val="Calibri"/>
      <family val="2"/>
      <scheme val="minor"/>
    </font>
    <font>
      <b/>
      <sz val="11"/>
      <color theme="1"/>
      <name val="Calibri"/>
      <family val="2"/>
      <scheme val="minor"/>
    </font>
    <font>
      <b/>
      <sz val="18"/>
      <color theme="1"/>
      <name val="Arial"/>
      <family val="2"/>
    </font>
    <font>
      <i/>
      <sz val="11"/>
      <color theme="1"/>
      <name val="Calibri"/>
      <family val="2"/>
      <scheme val="minor"/>
    </font>
    <font>
      <b/>
      <i/>
      <sz val="11"/>
      <color theme="1"/>
      <name val="Calibri"/>
      <family val="2"/>
      <scheme val="minor"/>
    </font>
    <font>
      <b/>
      <sz val="10"/>
      <color theme="1"/>
      <name val="Calibri"/>
      <family val="2"/>
      <scheme val="minor"/>
    </font>
    <font>
      <b/>
      <sz val="20"/>
      <name val="Calibri"/>
      <family val="2"/>
      <scheme val="minor"/>
    </font>
    <font>
      <b/>
      <sz val="11"/>
      <name val="Calibri"/>
      <family val="2"/>
      <scheme val="minor"/>
    </font>
    <font>
      <b/>
      <i/>
      <sz val="10"/>
      <color theme="1"/>
      <name val="Calibri"/>
      <family val="2"/>
      <scheme val="minor"/>
    </font>
    <font>
      <b/>
      <i/>
      <vertAlign val="subscript"/>
      <sz val="10"/>
      <color theme="1"/>
      <name val="Calibri"/>
      <family val="2"/>
      <scheme val="minor"/>
    </font>
    <font>
      <i/>
      <sz val="9"/>
      <color theme="1"/>
      <name val="Calibri"/>
      <family val="2"/>
      <scheme val="minor"/>
    </font>
    <font>
      <b/>
      <i/>
      <sz val="9"/>
      <color theme="1"/>
      <name val="Calibri"/>
      <family val="2"/>
      <scheme val="minor"/>
    </font>
    <font>
      <b/>
      <i/>
      <u/>
      <sz val="9"/>
      <color theme="1"/>
      <name val="Calibri"/>
      <family val="2"/>
      <scheme val="minor"/>
    </font>
    <font>
      <i/>
      <u/>
      <sz val="9"/>
      <color theme="1"/>
      <name val="Calibri"/>
      <family val="2"/>
      <scheme val="minor"/>
    </font>
    <font>
      <b/>
      <sz val="9"/>
      <color theme="1"/>
      <name val="Calibri"/>
      <family val="2"/>
      <scheme val="minor"/>
    </font>
    <font>
      <b/>
      <sz val="9"/>
      <color theme="1" tint="0.499984740745262"/>
      <name val="Calibri"/>
      <family val="2"/>
      <scheme val="minor"/>
    </font>
    <font>
      <b/>
      <sz val="11"/>
      <color theme="1" tint="0.499984740745262"/>
      <name val="Calibri"/>
      <family val="2"/>
      <scheme val="minor"/>
    </font>
    <font>
      <sz val="11"/>
      <color theme="1" tint="0.499984740745262"/>
      <name val="Calibri"/>
      <family val="2"/>
      <scheme val="minor"/>
    </font>
    <font>
      <b/>
      <sz val="10"/>
      <color theme="1" tint="0.499984740745262"/>
      <name val="Calibri"/>
      <family val="2"/>
      <scheme val="minor"/>
    </font>
    <font>
      <sz val="14"/>
      <color theme="1"/>
      <name val="Arial"/>
      <family val="2"/>
    </font>
    <font>
      <b/>
      <i/>
      <sz val="8"/>
      <color theme="1"/>
      <name val="Calibri"/>
      <family val="2"/>
      <scheme val="minor"/>
    </font>
    <font>
      <i/>
      <sz val="10"/>
      <color theme="1"/>
      <name val="Calibri"/>
      <family val="2"/>
      <scheme val="minor"/>
    </font>
    <font>
      <b/>
      <i/>
      <u/>
      <sz val="10"/>
      <color theme="1"/>
      <name val="Calibri"/>
      <family val="2"/>
      <scheme val="minor"/>
    </font>
    <font>
      <sz val="9"/>
      <color theme="1"/>
      <name val="Calibri"/>
      <family val="2"/>
      <scheme val="minor"/>
    </font>
    <font>
      <sz val="11"/>
      <color theme="1"/>
      <name val="Calibri"/>
      <family val="2"/>
    </font>
    <font>
      <sz val="8"/>
      <color theme="1"/>
      <name val="Calibri"/>
      <family val="2"/>
      <scheme val="minor"/>
    </font>
    <font>
      <b/>
      <sz val="8"/>
      <color theme="1"/>
      <name val="Calibri"/>
      <family val="2"/>
      <scheme val="minor"/>
    </font>
  </fonts>
  <fills count="9">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FFFFCC"/>
        <bgColor indexed="64"/>
      </patternFill>
    </fill>
  </fills>
  <borders count="84">
    <border>
      <left/>
      <right/>
      <top/>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dotted">
        <color indexed="64"/>
      </right>
      <top/>
      <bottom style="dotted">
        <color indexed="64"/>
      </bottom>
      <diagonal/>
    </border>
    <border>
      <left style="dotted">
        <color indexed="64"/>
      </left>
      <right/>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dotted">
        <color indexed="64"/>
      </left>
      <right/>
      <top style="dotted">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dotted">
        <color auto="1"/>
      </left>
      <right style="dotted">
        <color auto="1"/>
      </right>
      <top style="dotted">
        <color auto="1"/>
      </top>
      <bottom style="dotted">
        <color auto="1"/>
      </bottom>
      <diagonal/>
    </border>
    <border>
      <left style="dotted">
        <color auto="1"/>
      </left>
      <right style="dotted">
        <color auto="1"/>
      </right>
      <top style="thin">
        <color indexed="64"/>
      </top>
      <bottom style="dotted">
        <color auto="1"/>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right style="thin">
        <color indexed="64"/>
      </right>
      <top style="medium">
        <color indexed="64"/>
      </top>
      <bottom/>
      <diagonal/>
    </border>
    <border>
      <left style="thin">
        <color indexed="64"/>
      </left>
      <right/>
      <top style="dotted">
        <color indexed="64"/>
      </top>
      <bottom style="thin">
        <color indexed="64"/>
      </bottom>
      <diagonal/>
    </border>
    <border>
      <left style="thin">
        <color indexed="64"/>
      </left>
      <right style="dotted">
        <color indexed="64"/>
      </right>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dotted">
        <color indexed="64"/>
      </right>
      <top style="dotted">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dotted">
        <color auto="1"/>
      </top>
      <bottom style="dotted">
        <color auto="1"/>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dotted">
        <color indexed="64"/>
      </right>
      <top style="dotted">
        <color indexed="64"/>
      </top>
      <bottom style="medium">
        <color indexed="64"/>
      </bottom>
      <diagonal/>
    </border>
    <border>
      <left style="dotted">
        <color indexed="64"/>
      </left>
      <right/>
      <top style="dotted">
        <color indexed="64"/>
      </top>
      <bottom style="medium">
        <color indexed="64"/>
      </bottom>
      <diagonal/>
    </border>
  </borders>
  <cellStyleXfs count="2">
    <xf numFmtId="0" fontId="0" fillId="0" borderId="0"/>
    <xf numFmtId="9" fontId="1" fillId="0" borderId="0" applyFont="0" applyFill="0" applyBorder="0" applyAlignment="0" applyProtection="0"/>
  </cellStyleXfs>
  <cellXfs count="251">
    <xf numFmtId="0" fontId="0" fillId="0" borderId="0" xfId="0"/>
    <xf numFmtId="0" fontId="0" fillId="4" borderId="8" xfId="0" applyFill="1" applyBorder="1" applyAlignment="1">
      <alignment horizontal="center" vertical="center"/>
    </xf>
    <xf numFmtId="0" fontId="0" fillId="4" borderId="10" xfId="0" applyFill="1" applyBorder="1" applyAlignment="1">
      <alignment horizontal="center" vertical="center"/>
    </xf>
    <xf numFmtId="0" fontId="0" fillId="4" borderId="12" xfId="0" applyFill="1" applyBorder="1" applyAlignment="1">
      <alignment horizontal="center" vertical="center"/>
    </xf>
    <xf numFmtId="0" fontId="0" fillId="4" borderId="13" xfId="0" applyFill="1" applyBorder="1" applyAlignment="1">
      <alignment horizontal="center" vertical="center"/>
    </xf>
    <xf numFmtId="0" fontId="0" fillId="4" borderId="14" xfId="0" applyFill="1" applyBorder="1" applyAlignment="1">
      <alignment horizontal="center" vertical="center"/>
    </xf>
    <xf numFmtId="0" fontId="0" fillId="4" borderId="15" xfId="0" applyFill="1" applyBorder="1" applyAlignment="1">
      <alignment horizontal="center" vertical="center"/>
    </xf>
    <xf numFmtId="0" fontId="0" fillId="0" borderId="0" xfId="0" applyBorder="1"/>
    <xf numFmtId="0" fontId="2" fillId="0" borderId="20" xfId="0" applyFont="1" applyBorder="1" applyAlignment="1">
      <alignment horizontal="right"/>
    </xf>
    <xf numFmtId="0" fontId="0" fillId="0" borderId="20" xfId="0" applyBorder="1" applyAlignment="1">
      <alignment horizontal="right"/>
    </xf>
    <xf numFmtId="0" fontId="0" fillId="0" borderId="21" xfId="0" applyBorder="1"/>
    <xf numFmtId="0" fontId="0" fillId="0" borderId="22" xfId="0" applyBorder="1" applyAlignment="1">
      <alignment horizontal="right"/>
    </xf>
    <xf numFmtId="2" fontId="6" fillId="5" borderId="31" xfId="0" applyNumberFormat="1" applyFont="1" applyFill="1" applyBorder="1" applyAlignment="1">
      <alignment horizontal="center" vertical="center"/>
    </xf>
    <xf numFmtId="0" fontId="6" fillId="5" borderId="32" xfId="0" applyFont="1" applyFill="1" applyBorder="1" applyAlignment="1">
      <alignment horizontal="center" vertical="center"/>
    </xf>
    <xf numFmtId="0" fontId="6" fillId="5" borderId="33" xfId="0" applyFont="1" applyFill="1" applyBorder="1" applyAlignment="1">
      <alignment horizontal="center" vertical="center"/>
    </xf>
    <xf numFmtId="0" fontId="0" fillId="0" borderId="0" xfId="0" applyFill="1" applyBorder="1"/>
    <xf numFmtId="2" fontId="6" fillId="5" borderId="34" xfId="0" applyNumberFormat="1" applyFont="1" applyFill="1" applyBorder="1" applyAlignment="1">
      <alignment horizontal="center" vertical="center"/>
    </xf>
    <xf numFmtId="0" fontId="0" fillId="0" borderId="18" xfId="0" applyBorder="1"/>
    <xf numFmtId="0" fontId="2" fillId="0" borderId="35" xfId="0" applyFont="1" applyBorder="1" applyAlignment="1">
      <alignment vertical="center"/>
    </xf>
    <xf numFmtId="0" fontId="2" fillId="0" borderId="21" xfId="0" applyFont="1" applyBorder="1" applyAlignment="1">
      <alignment vertical="center"/>
    </xf>
    <xf numFmtId="0" fontId="2" fillId="0" borderId="21" xfId="0" applyFont="1" applyBorder="1" applyAlignment="1">
      <alignment horizontal="right" vertical="center"/>
    </xf>
    <xf numFmtId="0" fontId="0" fillId="4" borderId="38" xfId="0" applyFill="1" applyBorder="1" applyAlignment="1">
      <alignment horizontal="center" vertical="center"/>
    </xf>
    <xf numFmtId="0" fontId="2" fillId="3" borderId="11" xfId="0" applyFont="1" applyFill="1" applyBorder="1" applyAlignment="1">
      <alignment horizontal="center" vertical="center"/>
    </xf>
    <xf numFmtId="164" fontId="2" fillId="3" borderId="11" xfId="1" applyNumberFormat="1" applyFont="1" applyFill="1" applyBorder="1" applyAlignment="1">
      <alignment horizontal="center" vertical="center"/>
    </xf>
    <xf numFmtId="0" fontId="0" fillId="0" borderId="0" xfId="0" applyBorder="1" applyAlignment="1">
      <alignment horizontal="right"/>
    </xf>
    <xf numFmtId="0" fontId="2" fillId="3" borderId="27" xfId="0" applyFont="1" applyFill="1" applyBorder="1" applyAlignment="1">
      <alignment horizontal="center" vertical="center"/>
    </xf>
    <xf numFmtId="164" fontId="2" fillId="3" borderId="27" xfId="1" applyNumberFormat="1" applyFont="1" applyFill="1" applyBorder="1" applyAlignment="1">
      <alignment horizontal="center" vertical="center"/>
    </xf>
    <xf numFmtId="2" fontId="6" fillId="3" borderId="11" xfId="0" applyNumberFormat="1" applyFont="1" applyFill="1" applyBorder="1" applyAlignment="1">
      <alignment horizontal="center" vertical="center"/>
    </xf>
    <xf numFmtId="0" fontId="0" fillId="4" borderId="41" xfId="0" applyFill="1" applyBorder="1" applyAlignment="1">
      <alignment horizontal="center" vertical="center"/>
    </xf>
    <xf numFmtId="0" fontId="0" fillId="4" borderId="42" xfId="0" applyFill="1" applyBorder="1" applyAlignment="1">
      <alignment horizontal="center" vertical="center"/>
    </xf>
    <xf numFmtId="0" fontId="0" fillId="0" borderId="3" xfId="0" applyBorder="1"/>
    <xf numFmtId="0" fontId="0" fillId="0" borderId="1" xfId="0" applyBorder="1"/>
    <xf numFmtId="2" fontId="0" fillId="4" borderId="27" xfId="0" applyNumberFormat="1" applyFill="1" applyBorder="1" applyAlignment="1">
      <alignment horizontal="center" vertical="center"/>
    </xf>
    <xf numFmtId="0" fontId="9" fillId="6" borderId="39" xfId="0" applyFont="1" applyFill="1" applyBorder="1" applyAlignment="1">
      <alignment horizontal="center"/>
    </xf>
    <xf numFmtId="0" fontId="9" fillId="6" borderId="40" xfId="0" applyFont="1" applyFill="1" applyBorder="1" applyAlignment="1">
      <alignment horizontal="center"/>
    </xf>
    <xf numFmtId="0" fontId="2" fillId="3" borderId="37" xfId="0" applyFont="1" applyFill="1" applyBorder="1" applyAlignment="1">
      <alignment horizontal="center" vertical="center"/>
    </xf>
    <xf numFmtId="0" fontId="2" fillId="3" borderId="25" xfId="0" applyFont="1" applyFill="1" applyBorder="1" applyAlignment="1">
      <alignment horizontal="center" vertical="center"/>
    </xf>
    <xf numFmtId="0" fontId="0" fillId="0" borderId="21" xfId="0" applyBorder="1" applyAlignment="1">
      <alignment horizontal="right"/>
    </xf>
    <xf numFmtId="0" fontId="9" fillId="6" borderId="16" xfId="0" applyFont="1" applyFill="1" applyBorder="1" applyAlignment="1">
      <alignment horizontal="center" vertical="center"/>
    </xf>
    <xf numFmtId="0" fontId="9" fillId="6" borderId="36" xfId="0" applyFont="1" applyFill="1" applyBorder="1" applyAlignment="1">
      <alignment horizontal="center" vertical="center"/>
    </xf>
    <xf numFmtId="0" fontId="5" fillId="6" borderId="43" xfId="0" applyFont="1" applyFill="1" applyBorder="1" applyAlignment="1">
      <alignment horizontal="center"/>
    </xf>
    <xf numFmtId="0" fontId="0" fillId="0" borderId="35" xfId="0" applyBorder="1"/>
    <xf numFmtId="0" fontId="2" fillId="0" borderId="1" xfId="0" applyFont="1" applyBorder="1" applyAlignment="1">
      <alignment horizontal="right"/>
    </xf>
    <xf numFmtId="0" fontId="2" fillId="0" borderId="21" xfId="0" applyFont="1" applyBorder="1" applyAlignment="1">
      <alignment horizontal="right"/>
    </xf>
    <xf numFmtId="0" fontId="0" fillId="3" borderId="47" xfId="0" applyFill="1" applyBorder="1" applyAlignment="1">
      <alignment horizontal="center" vertical="center"/>
    </xf>
    <xf numFmtId="0" fontId="0" fillId="3" borderId="48" xfId="0" applyFill="1" applyBorder="1" applyAlignment="1">
      <alignment horizontal="center" vertical="center"/>
    </xf>
    <xf numFmtId="0" fontId="0" fillId="3" borderId="49" xfId="0" applyFill="1" applyBorder="1" applyAlignment="1">
      <alignment horizontal="center" vertical="center"/>
    </xf>
    <xf numFmtId="2" fontId="6" fillId="7" borderId="34" xfId="0" applyNumberFormat="1" applyFont="1" applyFill="1" applyBorder="1" applyAlignment="1">
      <alignment horizontal="center" vertical="center"/>
    </xf>
    <xf numFmtId="0" fontId="6" fillId="7" borderId="32" xfId="0" applyFont="1" applyFill="1" applyBorder="1" applyAlignment="1">
      <alignment horizontal="center" vertical="center"/>
    </xf>
    <xf numFmtId="0" fontId="6" fillId="7" borderId="33" xfId="0" applyFont="1" applyFill="1" applyBorder="1" applyAlignment="1">
      <alignment horizontal="center" vertical="center"/>
    </xf>
    <xf numFmtId="0" fontId="0" fillId="7" borderId="8" xfId="0" applyFill="1" applyBorder="1" applyAlignment="1">
      <alignment horizontal="center" vertical="center"/>
    </xf>
    <xf numFmtId="0" fontId="0" fillId="7" borderId="10" xfId="0" applyFill="1" applyBorder="1" applyAlignment="1">
      <alignment horizontal="center" vertical="center"/>
    </xf>
    <xf numFmtId="164" fontId="2" fillId="3" borderId="25" xfId="1" applyNumberFormat="1" applyFont="1" applyFill="1" applyBorder="1" applyAlignment="1">
      <alignment horizontal="center" vertical="center"/>
    </xf>
    <xf numFmtId="0" fontId="0" fillId="7" borderId="7" xfId="0" applyFill="1" applyBorder="1" applyAlignment="1">
      <alignment horizontal="center" vertical="center"/>
    </xf>
    <xf numFmtId="0" fontId="0" fillId="7" borderId="9" xfId="0" applyFill="1" applyBorder="1" applyAlignment="1">
      <alignment horizontal="center" vertical="center"/>
    </xf>
    <xf numFmtId="164" fontId="8" fillId="3" borderId="26" xfId="1" applyNumberFormat="1" applyFont="1" applyFill="1" applyBorder="1" applyAlignment="1">
      <alignment horizontal="center" vertical="center"/>
    </xf>
    <xf numFmtId="0" fontId="0" fillId="4" borderId="52" xfId="0" applyFill="1" applyBorder="1" applyAlignment="1">
      <alignment horizontal="center" vertical="center"/>
    </xf>
    <xf numFmtId="0" fontId="0" fillId="0" borderId="20" xfId="0" applyFont="1" applyBorder="1" applyAlignment="1">
      <alignment horizontal="right"/>
    </xf>
    <xf numFmtId="0" fontId="0" fillId="4" borderId="54" xfId="0" applyFill="1" applyBorder="1" applyAlignment="1">
      <alignment horizontal="center" vertical="center"/>
    </xf>
    <xf numFmtId="0" fontId="12" fillId="0" borderId="3" xfId="0" applyFont="1" applyFill="1" applyBorder="1" applyAlignment="1">
      <alignment vertical="top" wrapText="1"/>
    </xf>
    <xf numFmtId="0" fontId="12" fillId="0" borderId="1" xfId="0" applyFont="1" applyFill="1" applyBorder="1" applyAlignment="1">
      <alignment vertical="top" wrapText="1"/>
    </xf>
    <xf numFmtId="0" fontId="2" fillId="0" borderId="50" xfId="0" applyFont="1" applyBorder="1" applyAlignment="1">
      <alignment horizontal="right"/>
    </xf>
    <xf numFmtId="0" fontId="2" fillId="0" borderId="57" xfId="0" applyFont="1" applyBorder="1" applyAlignment="1">
      <alignment horizontal="right"/>
    </xf>
    <xf numFmtId="164" fontId="2" fillId="3" borderId="58" xfId="1" applyNumberFormat="1" applyFont="1" applyFill="1" applyBorder="1" applyAlignment="1">
      <alignment horizontal="center" vertical="center"/>
    </xf>
    <xf numFmtId="0" fontId="0" fillId="0" borderId="5" xfId="0" applyBorder="1"/>
    <xf numFmtId="0" fontId="0" fillId="0" borderId="2" xfId="0" applyBorder="1"/>
    <xf numFmtId="0" fontId="0" fillId="0" borderId="59" xfId="0" applyFont="1" applyBorder="1" applyAlignment="1">
      <alignment horizontal="right"/>
    </xf>
    <xf numFmtId="0" fontId="0" fillId="4" borderId="60" xfId="0" applyFill="1" applyBorder="1" applyAlignment="1">
      <alignment horizontal="center" vertical="center"/>
    </xf>
    <xf numFmtId="2" fontId="6" fillId="4" borderId="31" xfId="0" applyNumberFormat="1" applyFont="1" applyFill="1" applyBorder="1" applyAlignment="1">
      <alignment horizontal="center" vertical="center"/>
    </xf>
    <xf numFmtId="0" fontId="15" fillId="2" borderId="29" xfId="0" applyFont="1" applyFill="1" applyBorder="1" applyAlignment="1">
      <alignment horizontal="center" vertical="center"/>
    </xf>
    <xf numFmtId="0" fontId="15" fillId="2" borderId="30" xfId="0" applyFont="1" applyFill="1" applyBorder="1" applyAlignment="1">
      <alignment horizontal="center" vertical="center"/>
    </xf>
    <xf numFmtId="0" fontId="15" fillId="2" borderId="28" xfId="0" applyFont="1" applyFill="1" applyBorder="1" applyAlignment="1">
      <alignment horizontal="center" vertical="center"/>
    </xf>
    <xf numFmtId="2" fontId="6" fillId="5" borderId="62" xfId="0" applyNumberFormat="1" applyFont="1" applyFill="1" applyBorder="1" applyAlignment="1">
      <alignment horizontal="center" vertical="center"/>
    </xf>
    <xf numFmtId="2" fontId="6" fillId="5" borderId="63" xfId="0" applyNumberFormat="1" applyFont="1" applyFill="1" applyBorder="1" applyAlignment="1">
      <alignment horizontal="center" vertical="center"/>
    </xf>
    <xf numFmtId="2" fontId="6" fillId="7" borderId="63" xfId="0" applyNumberFormat="1" applyFont="1" applyFill="1" applyBorder="1" applyAlignment="1">
      <alignment horizontal="center" vertical="center"/>
    </xf>
    <xf numFmtId="1" fontId="0" fillId="0" borderId="0" xfId="0" applyNumberFormat="1"/>
    <xf numFmtId="0" fontId="17" fillId="6" borderId="28" xfId="0" applyFont="1" applyFill="1" applyBorder="1" applyAlignment="1">
      <alignment horizontal="center"/>
    </xf>
    <xf numFmtId="0" fontId="17" fillId="6" borderId="57" xfId="0" applyFont="1" applyFill="1" applyBorder="1" applyAlignment="1">
      <alignment horizontal="center"/>
    </xf>
    <xf numFmtId="0" fontId="17" fillId="6" borderId="64" xfId="0" applyFont="1" applyFill="1" applyBorder="1" applyAlignment="1">
      <alignment horizontal="center"/>
    </xf>
    <xf numFmtId="0" fontId="19" fillId="6" borderId="65" xfId="0" applyFont="1" applyFill="1" applyBorder="1" applyAlignment="1">
      <alignment horizontal="center" vertical="center"/>
    </xf>
    <xf numFmtId="0" fontId="19" fillId="6" borderId="66" xfId="0" applyFont="1" applyFill="1" applyBorder="1" applyAlignment="1">
      <alignment horizontal="center" vertical="center"/>
    </xf>
    <xf numFmtId="0" fontId="17" fillId="6" borderId="58" xfId="0" applyFont="1" applyFill="1" applyBorder="1" applyAlignment="1">
      <alignment horizontal="center"/>
    </xf>
    <xf numFmtId="1" fontId="18" fillId="6" borderId="18" xfId="0" applyNumberFormat="1" applyFont="1" applyFill="1" applyBorder="1" applyAlignment="1">
      <alignment horizontal="center"/>
    </xf>
    <xf numFmtId="1" fontId="18" fillId="6" borderId="20" xfId="0" applyNumberFormat="1" applyFont="1" applyFill="1" applyBorder="1" applyAlignment="1">
      <alignment horizontal="center"/>
    </xf>
    <xf numFmtId="2" fontId="18" fillId="6" borderId="56" xfId="0" applyNumberFormat="1" applyFont="1" applyFill="1" applyBorder="1" applyAlignment="1">
      <alignment horizontal="center"/>
    </xf>
    <xf numFmtId="2" fontId="18" fillId="6" borderId="20" xfId="0" applyNumberFormat="1" applyFont="1" applyFill="1" applyBorder="1" applyAlignment="1">
      <alignment horizontal="center"/>
    </xf>
    <xf numFmtId="1" fontId="18" fillId="6" borderId="5" xfId="0" applyNumberFormat="1" applyFont="1" applyFill="1" applyBorder="1" applyAlignment="1">
      <alignment horizontal="center"/>
    </xf>
    <xf numFmtId="1" fontId="18" fillId="6" borderId="59" xfId="0" applyNumberFormat="1" applyFont="1" applyFill="1" applyBorder="1" applyAlignment="1">
      <alignment horizontal="center"/>
    </xf>
    <xf numFmtId="2" fontId="18" fillId="6" borderId="61" xfId="0" applyNumberFormat="1" applyFont="1" applyFill="1" applyBorder="1" applyAlignment="1">
      <alignment horizontal="center"/>
    </xf>
    <xf numFmtId="2" fontId="18" fillId="6" borderId="59" xfId="0" applyNumberFormat="1" applyFont="1" applyFill="1" applyBorder="1" applyAlignment="1">
      <alignment horizontal="center"/>
    </xf>
    <xf numFmtId="0" fontId="17" fillId="6" borderId="29" xfId="0" applyFont="1" applyFill="1" applyBorder="1" applyAlignment="1">
      <alignment horizontal="center"/>
    </xf>
    <xf numFmtId="2" fontId="18" fillId="6" borderId="0" xfId="0" applyNumberFormat="1" applyFont="1" applyFill="1" applyBorder="1" applyAlignment="1">
      <alignment horizontal="center"/>
    </xf>
    <xf numFmtId="2" fontId="18" fillId="6" borderId="2" xfId="0" applyNumberFormat="1" applyFont="1" applyFill="1" applyBorder="1" applyAlignment="1">
      <alignment horizontal="center"/>
    </xf>
    <xf numFmtId="0" fontId="7" fillId="0" borderId="0" xfId="0" applyFont="1" applyFill="1" applyBorder="1" applyAlignment="1">
      <alignment vertical="center"/>
    </xf>
    <xf numFmtId="0" fontId="0" fillId="4" borderId="67" xfId="0" applyFill="1" applyBorder="1" applyAlignment="1">
      <alignment horizontal="center" vertical="center"/>
    </xf>
    <xf numFmtId="0" fontId="0" fillId="0" borderId="50" xfId="0" applyFont="1" applyBorder="1" applyAlignment="1">
      <alignment horizontal="right"/>
    </xf>
    <xf numFmtId="164" fontId="2" fillId="3" borderId="26" xfId="1" applyNumberFormat="1" applyFont="1" applyFill="1" applyBorder="1" applyAlignment="1">
      <alignment horizontal="center" vertical="center"/>
    </xf>
    <xf numFmtId="0" fontId="0" fillId="0" borderId="0" xfId="0" applyAlignment="1">
      <alignment horizontal="right"/>
    </xf>
    <xf numFmtId="0" fontId="0" fillId="0" borderId="2" xfId="0" applyBorder="1" applyAlignment="1">
      <alignment horizontal="right"/>
    </xf>
    <xf numFmtId="0" fontId="0" fillId="0" borderId="19" xfId="0" applyBorder="1"/>
    <xf numFmtId="0" fontId="0" fillId="0" borderId="19" xfId="0" applyBorder="1" applyAlignment="1">
      <alignment horizontal="right"/>
    </xf>
    <xf numFmtId="0" fontId="0" fillId="0" borderId="46" xfId="0" applyBorder="1"/>
    <xf numFmtId="0" fontId="0" fillId="8" borderId="54" xfId="0" applyFill="1" applyBorder="1" applyAlignment="1">
      <alignment horizontal="center" vertical="center"/>
    </xf>
    <xf numFmtId="0" fontId="0" fillId="8" borderId="73" xfId="0" applyFill="1" applyBorder="1" applyAlignment="1">
      <alignment horizontal="center" vertical="center"/>
    </xf>
    <xf numFmtId="0" fontId="0" fillId="8" borderId="16" xfId="0" applyFill="1" applyBorder="1" applyAlignment="1">
      <alignment horizontal="center" vertical="center"/>
    </xf>
    <xf numFmtId="0" fontId="0" fillId="8" borderId="60" xfId="0" applyFill="1" applyBorder="1" applyAlignment="1">
      <alignment horizontal="center" vertical="center"/>
    </xf>
    <xf numFmtId="0" fontId="2" fillId="6" borderId="35" xfId="0" applyFont="1" applyFill="1" applyBorder="1" applyAlignment="1">
      <alignment vertical="center"/>
    </xf>
    <xf numFmtId="0" fontId="2" fillId="6" borderId="21" xfId="0" applyFont="1" applyFill="1" applyBorder="1" applyAlignment="1">
      <alignment vertical="center"/>
    </xf>
    <xf numFmtId="0" fontId="2" fillId="6" borderId="21" xfId="0" applyFont="1" applyFill="1" applyBorder="1" applyAlignment="1">
      <alignment horizontal="right" vertical="center"/>
    </xf>
    <xf numFmtId="0" fontId="0" fillId="0" borderId="18" xfId="0" applyFill="1" applyBorder="1"/>
    <xf numFmtId="0" fontId="0" fillId="0" borderId="21" xfId="0" applyFill="1" applyBorder="1"/>
    <xf numFmtId="0" fontId="0" fillId="0" borderId="56" xfId="0" applyFill="1" applyBorder="1" applyAlignment="1">
      <alignment horizontal="center" vertical="center"/>
    </xf>
    <xf numFmtId="0" fontId="0" fillId="0" borderId="71" xfId="0" applyFill="1" applyBorder="1" applyAlignment="1">
      <alignment horizontal="center" vertical="center"/>
    </xf>
    <xf numFmtId="0" fontId="0" fillId="0" borderId="35" xfId="0" applyFill="1" applyBorder="1"/>
    <xf numFmtId="0" fontId="11" fillId="8" borderId="47" xfId="0" applyFont="1" applyFill="1" applyBorder="1" applyAlignment="1">
      <alignment horizontal="left" vertical="top" wrapText="1"/>
    </xf>
    <xf numFmtId="0" fontId="11" fillId="8" borderId="49" xfId="0" applyFont="1" applyFill="1" applyBorder="1" applyAlignment="1">
      <alignment horizontal="left" vertical="top" wrapText="1"/>
    </xf>
    <xf numFmtId="0" fontId="3" fillId="0" borderId="21" xfId="0" applyFont="1" applyFill="1" applyBorder="1" applyAlignment="1">
      <alignment horizontal="center" vertical="center"/>
    </xf>
    <xf numFmtId="2" fontId="6" fillId="0" borderId="21" xfId="0" applyNumberFormat="1" applyFont="1" applyFill="1" applyBorder="1" applyAlignment="1">
      <alignment horizontal="right" vertical="center"/>
    </xf>
    <xf numFmtId="0" fontId="3" fillId="0" borderId="35" xfId="0" applyFont="1" applyFill="1" applyBorder="1" applyAlignment="1">
      <alignment horizontal="center" vertical="center"/>
    </xf>
    <xf numFmtId="164" fontId="2" fillId="3" borderId="36" xfId="1" applyNumberFormat="1" applyFont="1" applyFill="1" applyBorder="1" applyAlignment="1">
      <alignment horizontal="center" vertical="center"/>
    </xf>
    <xf numFmtId="0" fontId="0" fillId="4" borderId="37" xfId="0" applyFill="1" applyBorder="1" applyAlignment="1">
      <alignment horizontal="center" vertical="center"/>
    </xf>
    <xf numFmtId="164" fontId="0" fillId="3" borderId="27" xfId="1" applyNumberFormat="1" applyFont="1" applyFill="1" applyBorder="1" applyAlignment="1">
      <alignment horizontal="center" vertical="center"/>
    </xf>
    <xf numFmtId="0" fontId="0" fillId="8" borderId="37" xfId="0" applyFill="1" applyBorder="1" applyAlignment="1">
      <alignment horizontal="center" vertical="center"/>
    </xf>
    <xf numFmtId="0" fontId="0" fillId="8" borderId="27" xfId="0" applyFill="1" applyBorder="1" applyAlignment="1">
      <alignment horizontal="center" vertical="center"/>
    </xf>
    <xf numFmtId="0" fontId="0" fillId="4" borderId="77" xfId="0" applyFill="1" applyBorder="1" applyAlignment="1">
      <alignment horizontal="center" vertical="center"/>
    </xf>
    <xf numFmtId="0" fontId="2" fillId="0" borderId="22" xfId="0" applyFont="1" applyBorder="1" applyAlignment="1">
      <alignment horizontal="right"/>
    </xf>
    <xf numFmtId="0" fontId="0" fillId="4" borderId="47" xfId="0" applyFill="1" applyBorder="1" applyAlignment="1">
      <alignment horizontal="center"/>
    </xf>
    <xf numFmtId="0" fontId="0" fillId="4" borderId="49" xfId="0" applyFill="1" applyBorder="1" applyAlignment="1">
      <alignment horizontal="center"/>
    </xf>
    <xf numFmtId="1" fontId="6" fillId="5" borderId="31" xfId="0" applyNumberFormat="1" applyFont="1" applyFill="1" applyBorder="1" applyAlignment="1">
      <alignment horizontal="center" vertical="center"/>
    </xf>
    <xf numFmtId="0" fontId="9" fillId="6" borderId="78" xfId="0" applyFont="1" applyFill="1" applyBorder="1" applyAlignment="1">
      <alignment horizontal="center"/>
    </xf>
    <xf numFmtId="0" fontId="9" fillId="6" borderId="79" xfId="0" applyFont="1" applyFill="1" applyBorder="1" applyAlignment="1">
      <alignment horizontal="center"/>
    </xf>
    <xf numFmtId="0" fontId="9" fillId="6" borderId="80" xfId="0" applyFont="1" applyFill="1" applyBorder="1" applyAlignment="1">
      <alignment horizontal="center"/>
    </xf>
    <xf numFmtId="0" fontId="5" fillId="6" borderId="25" xfId="0" applyFont="1" applyFill="1" applyBorder="1" applyAlignment="1">
      <alignment horizontal="center"/>
    </xf>
    <xf numFmtId="0" fontId="0" fillId="0" borderId="81" xfId="0" applyBorder="1" applyAlignment="1">
      <alignment horizontal="right"/>
    </xf>
    <xf numFmtId="0" fontId="0" fillId="4" borderId="9" xfId="0" applyFill="1" applyBorder="1"/>
    <xf numFmtId="0" fontId="12" fillId="0" borderId="3" xfId="0" applyFont="1" applyBorder="1" applyAlignment="1">
      <alignment vertical="top" wrapText="1"/>
    </xf>
    <xf numFmtId="0" fontId="12" fillId="0" borderId="1" xfId="0" applyFont="1" applyBorder="1" applyAlignment="1">
      <alignment vertical="top" wrapText="1"/>
    </xf>
    <xf numFmtId="0" fontId="0" fillId="0" borderId="50" xfId="0" applyBorder="1" applyAlignment="1">
      <alignment horizontal="right"/>
    </xf>
    <xf numFmtId="0" fontId="0" fillId="0" borderId="59" xfId="0" applyBorder="1" applyAlignment="1">
      <alignment horizontal="right"/>
    </xf>
    <xf numFmtId="0" fontId="0" fillId="7" borderId="82" xfId="0" applyFill="1" applyBorder="1" applyAlignment="1">
      <alignment horizontal="center" vertical="center"/>
    </xf>
    <xf numFmtId="0" fontId="0" fillId="7" borderId="83" xfId="0" applyFill="1" applyBorder="1" applyAlignment="1">
      <alignment horizontal="center" vertical="center"/>
    </xf>
    <xf numFmtId="0" fontId="2" fillId="3" borderId="33" xfId="0" applyFont="1" applyFill="1" applyBorder="1" applyAlignment="1">
      <alignment horizontal="center" vertical="center"/>
    </xf>
    <xf numFmtId="164" fontId="0" fillId="4" borderId="16" xfId="1" applyNumberFormat="1" applyFont="1" applyFill="1" applyBorder="1" applyAlignment="1">
      <alignment horizontal="center" vertical="center"/>
    </xf>
    <xf numFmtId="0" fontId="9" fillId="6" borderId="20" xfId="0" applyFont="1" applyFill="1" applyBorder="1" applyAlignment="1">
      <alignment horizontal="center"/>
    </xf>
    <xf numFmtId="0" fontId="9" fillId="6" borderId="70" xfId="0" applyFont="1" applyFill="1" applyBorder="1" applyAlignment="1">
      <alignment horizontal="center"/>
    </xf>
    <xf numFmtId="0" fontId="9" fillId="6" borderId="65" xfId="0" applyFont="1" applyFill="1" applyBorder="1" applyAlignment="1">
      <alignment horizontal="center"/>
    </xf>
    <xf numFmtId="0" fontId="12" fillId="0" borderId="18" xfId="0" applyFont="1" applyBorder="1" applyAlignment="1">
      <alignment horizontal="left" vertical="top" wrapText="1"/>
    </xf>
    <xf numFmtId="0" fontId="12" fillId="0" borderId="0" xfId="0" applyFont="1" applyBorder="1" applyAlignment="1">
      <alignment horizontal="left" vertical="top" wrapText="1"/>
    </xf>
    <xf numFmtId="0" fontId="12" fillId="0" borderId="17" xfId="0" applyFont="1" applyBorder="1" applyAlignment="1">
      <alignment horizontal="left" vertical="top" wrapText="1"/>
    </xf>
    <xf numFmtId="0" fontId="12" fillId="0" borderId="0" xfId="0" applyFont="1" applyAlignment="1">
      <alignment horizontal="left" vertical="top" wrapText="1"/>
    </xf>
    <xf numFmtId="0" fontId="12" fillId="0" borderId="5" xfId="0" applyFont="1" applyBorder="1" applyAlignment="1">
      <alignment horizontal="left" vertical="top" wrapText="1"/>
    </xf>
    <xf numFmtId="0" fontId="12" fillId="0" borderId="2" xfId="0" applyFont="1" applyBorder="1" applyAlignment="1">
      <alignment horizontal="left" vertical="top" wrapText="1"/>
    </xf>
    <xf numFmtId="0" fontId="12" fillId="0" borderId="6" xfId="0" applyFont="1" applyBorder="1" applyAlignment="1">
      <alignment horizontal="left" vertical="top" wrapText="1"/>
    </xf>
    <xf numFmtId="0" fontId="7" fillId="0" borderId="0" xfId="0" applyFont="1" applyAlignment="1">
      <alignment horizontal="center" vertical="center"/>
    </xf>
    <xf numFmtId="0" fontId="3" fillId="2" borderId="3"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6" xfId="0" applyFont="1" applyFill="1" applyBorder="1" applyAlignment="1">
      <alignment horizontal="center" vertical="center"/>
    </xf>
    <xf numFmtId="0" fontId="11" fillId="0" borderId="55" xfId="0" applyFont="1" applyBorder="1" applyAlignment="1">
      <alignment horizontal="left" vertical="top" wrapText="1"/>
    </xf>
    <xf numFmtId="0" fontId="11" fillId="0" borderId="45" xfId="0" applyFont="1" applyBorder="1" applyAlignment="1">
      <alignment horizontal="left" vertical="top" wrapText="1"/>
    </xf>
    <xf numFmtId="0" fontId="11" fillId="0" borderId="61" xfId="0" applyFont="1" applyBorder="1" applyAlignment="1">
      <alignment horizontal="left" vertical="top" wrapText="1"/>
    </xf>
    <xf numFmtId="0" fontId="11" fillId="0" borderId="6" xfId="0" applyFont="1" applyBorder="1" applyAlignment="1">
      <alignment horizontal="left" vertical="top" wrapText="1"/>
    </xf>
    <xf numFmtId="0" fontId="11" fillId="0" borderId="3" xfId="0" applyFont="1" applyBorder="1" applyAlignment="1">
      <alignment horizontal="left" vertical="top" wrapText="1"/>
    </xf>
    <xf numFmtId="0" fontId="11" fillId="0" borderId="1" xfId="0" applyFont="1" applyBorder="1" applyAlignment="1">
      <alignment horizontal="left" vertical="top" wrapText="1"/>
    </xf>
    <xf numFmtId="0" fontId="11" fillId="0" borderId="4" xfId="0" applyFont="1" applyBorder="1" applyAlignment="1">
      <alignment horizontal="left" vertical="top" wrapText="1"/>
    </xf>
    <xf numFmtId="0" fontId="11" fillId="0" borderId="18" xfId="0" applyFont="1" applyBorder="1" applyAlignment="1">
      <alignment horizontal="left" vertical="top" wrapText="1"/>
    </xf>
    <xf numFmtId="0" fontId="11" fillId="0" borderId="0" xfId="0" applyFont="1" applyAlignment="1">
      <alignment horizontal="left" vertical="top" wrapText="1"/>
    </xf>
    <xf numFmtId="0" fontId="11" fillId="0" borderId="17" xfId="0" applyFont="1" applyBorder="1" applyAlignment="1">
      <alignment horizontal="left" vertical="top" wrapText="1"/>
    </xf>
    <xf numFmtId="0" fontId="11" fillId="0" borderId="5" xfId="0" applyFont="1" applyBorder="1" applyAlignment="1">
      <alignment horizontal="left" vertical="top" wrapText="1"/>
    </xf>
    <xf numFmtId="0" fontId="11" fillId="0" borderId="2" xfId="0" applyFont="1" applyBorder="1" applyAlignment="1">
      <alignment horizontal="left" vertical="top" wrapText="1"/>
    </xf>
    <xf numFmtId="0" fontId="5" fillId="6" borderId="44" xfId="0" applyFont="1" applyFill="1" applyBorder="1" applyAlignment="1">
      <alignment horizontal="center"/>
    </xf>
    <xf numFmtId="0" fontId="5" fillId="6" borderId="24" xfId="0" applyFont="1" applyFill="1" applyBorder="1" applyAlignment="1">
      <alignment horizontal="center"/>
    </xf>
    <xf numFmtId="0" fontId="5" fillId="6" borderId="25" xfId="0" applyFont="1" applyFill="1" applyBorder="1" applyAlignment="1">
      <alignment horizontal="center"/>
    </xf>
    <xf numFmtId="0" fontId="11" fillId="0" borderId="46" xfId="0" applyFont="1" applyBorder="1" applyAlignment="1">
      <alignment horizontal="left" vertical="top" wrapText="1"/>
    </xf>
    <xf numFmtId="0" fontId="11" fillId="0" borderId="19" xfId="0" applyFont="1" applyBorder="1" applyAlignment="1">
      <alignment horizontal="left" vertical="top" wrapText="1"/>
    </xf>
    <xf numFmtId="0" fontId="11" fillId="0" borderId="0" xfId="0" applyFont="1" applyBorder="1" applyAlignment="1">
      <alignment horizontal="left" vertical="top" wrapText="1"/>
    </xf>
    <xf numFmtId="0" fontId="16" fillId="6" borderId="3" xfId="0" applyFont="1" applyFill="1" applyBorder="1" applyAlignment="1">
      <alignment horizontal="center"/>
    </xf>
    <xf numFmtId="0" fontId="16" fillId="6" borderId="1" xfId="0" applyFont="1" applyFill="1" applyBorder="1" applyAlignment="1">
      <alignment horizontal="center"/>
    </xf>
    <xf numFmtId="0" fontId="16" fillId="6" borderId="4" xfId="0" applyFont="1" applyFill="1" applyBorder="1" applyAlignment="1">
      <alignment horizontal="center"/>
    </xf>
    <xf numFmtId="0" fontId="0" fillId="8" borderId="74" xfId="0" applyFill="1" applyBorder="1" applyAlignment="1">
      <alignment horizontal="center"/>
    </xf>
    <xf numFmtId="0" fontId="0" fillId="8" borderId="75" xfId="0" applyFill="1" applyBorder="1" applyAlignment="1">
      <alignment horizontal="center"/>
    </xf>
    <xf numFmtId="0" fontId="0" fillId="8" borderId="51" xfId="0" applyFill="1" applyBorder="1" applyAlignment="1">
      <alignment horizontal="center"/>
    </xf>
    <xf numFmtId="0" fontId="0" fillId="8" borderId="76" xfId="0" applyFill="1" applyBorder="1" applyAlignment="1">
      <alignment horizontal="center"/>
    </xf>
    <xf numFmtId="0" fontId="5" fillId="6" borderId="26" xfId="0" applyFont="1" applyFill="1" applyBorder="1" applyAlignment="1">
      <alignment horizontal="center"/>
    </xf>
    <xf numFmtId="0" fontId="5" fillId="6" borderId="58" xfId="0" applyFont="1" applyFill="1" applyBorder="1" applyAlignment="1">
      <alignment horizontal="center"/>
    </xf>
    <xf numFmtId="0" fontId="11" fillId="0" borderId="56" xfId="0" applyFont="1" applyBorder="1" applyAlignment="1">
      <alignment horizontal="left" vertical="top" wrapText="1"/>
    </xf>
    <xf numFmtId="0" fontId="26" fillId="0" borderId="53" xfId="0" applyFont="1" applyBorder="1" applyAlignment="1">
      <alignment horizontal="right" vertical="center" wrapText="1"/>
    </xf>
    <xf numFmtId="0" fontId="26" fillId="0" borderId="16" xfId="0" applyFont="1" applyBorder="1" applyAlignment="1">
      <alignment horizontal="right" vertical="center" wrapText="1"/>
    </xf>
    <xf numFmtId="0" fontId="0" fillId="4" borderId="51" xfId="0" applyFill="1" applyBorder="1" applyAlignment="1">
      <alignment horizontal="center"/>
    </xf>
    <xf numFmtId="0" fontId="0" fillId="4" borderId="76" xfId="0" applyFill="1" applyBorder="1" applyAlignment="1">
      <alignment horizontal="center"/>
    </xf>
    <xf numFmtId="0" fontId="0" fillId="6" borderId="35" xfId="0" applyFill="1" applyBorder="1" applyAlignment="1">
      <alignment horizontal="center"/>
    </xf>
    <xf numFmtId="0" fontId="0" fillId="6" borderId="21" xfId="0" applyFill="1" applyBorder="1" applyAlignment="1">
      <alignment horizontal="center"/>
    </xf>
    <xf numFmtId="0" fontId="0" fillId="6" borderId="22" xfId="0" applyFill="1" applyBorder="1" applyAlignment="1">
      <alignment horizontal="center"/>
    </xf>
    <xf numFmtId="0" fontId="0" fillId="6" borderId="71" xfId="0" applyFill="1" applyBorder="1" applyAlignment="1">
      <alignment horizontal="center" vertical="center"/>
    </xf>
    <xf numFmtId="0" fontId="0" fillId="6" borderId="21" xfId="0" applyFill="1" applyBorder="1" applyAlignment="1">
      <alignment horizontal="center" vertical="center"/>
    </xf>
    <xf numFmtId="0" fontId="0" fillId="6" borderId="72" xfId="0" applyFill="1" applyBorder="1" applyAlignment="1">
      <alignment horizontal="center" vertical="center"/>
    </xf>
    <xf numFmtId="0" fontId="0" fillId="6" borderId="44" xfId="0" applyFill="1" applyBorder="1" applyAlignment="1">
      <alignment horizontal="center"/>
    </xf>
    <xf numFmtId="0" fontId="0" fillId="6" borderId="24" xfId="0" applyFill="1" applyBorder="1" applyAlignment="1">
      <alignment horizontal="center"/>
    </xf>
    <xf numFmtId="0" fontId="0" fillId="6" borderId="25" xfId="0" applyFill="1" applyBorder="1" applyAlignment="1">
      <alignment horizontal="center"/>
    </xf>
    <xf numFmtId="0" fontId="0" fillId="6" borderId="23" xfId="0" applyFill="1" applyBorder="1" applyAlignment="1">
      <alignment horizontal="center" vertical="center"/>
    </xf>
    <xf numFmtId="0" fontId="0" fillId="6" borderId="24" xfId="0" applyFill="1" applyBorder="1" applyAlignment="1">
      <alignment horizontal="center" vertical="center"/>
    </xf>
    <xf numFmtId="0" fontId="0" fillId="6" borderId="43" xfId="0" applyFill="1" applyBorder="1" applyAlignment="1">
      <alignment horizontal="center" vertical="center"/>
    </xf>
    <xf numFmtId="0" fontId="11" fillId="0" borderId="3" xfId="0" applyFont="1" applyFill="1" applyBorder="1" applyAlignment="1">
      <alignment horizontal="left" vertical="top" wrapText="1"/>
    </xf>
    <xf numFmtId="0" fontId="11" fillId="0" borderId="1" xfId="0" applyFont="1" applyFill="1" applyBorder="1" applyAlignment="1">
      <alignment horizontal="left" vertical="top" wrapText="1"/>
    </xf>
    <xf numFmtId="0" fontId="11" fillId="0" borderId="4" xfId="0" applyFont="1" applyFill="1" applyBorder="1" applyAlignment="1">
      <alignment horizontal="left" vertical="top" wrapText="1"/>
    </xf>
    <xf numFmtId="0" fontId="11" fillId="0" borderId="18" xfId="0" applyFont="1" applyFill="1" applyBorder="1" applyAlignment="1">
      <alignment horizontal="left" vertical="top" wrapText="1"/>
    </xf>
    <xf numFmtId="0" fontId="11" fillId="0" borderId="0" xfId="0" applyFont="1" applyFill="1" applyBorder="1" applyAlignment="1">
      <alignment horizontal="left" vertical="top" wrapText="1"/>
    </xf>
    <xf numFmtId="0" fontId="11" fillId="0" borderId="17" xfId="0" applyFont="1" applyFill="1" applyBorder="1" applyAlignment="1">
      <alignment horizontal="left" vertical="top" wrapText="1"/>
    </xf>
    <xf numFmtId="0" fontId="11" fillId="0" borderId="5" xfId="0" applyFont="1" applyFill="1" applyBorder="1" applyAlignment="1">
      <alignment horizontal="left" vertical="top" wrapText="1"/>
    </xf>
    <xf numFmtId="0" fontId="11" fillId="0" borderId="2" xfId="0" applyFont="1" applyFill="1" applyBorder="1" applyAlignment="1">
      <alignment horizontal="left" vertical="top" wrapText="1"/>
    </xf>
    <xf numFmtId="0" fontId="11" fillId="0" borderId="6" xfId="0" applyFont="1" applyFill="1" applyBorder="1" applyAlignment="1">
      <alignment horizontal="left" vertical="top" wrapText="1"/>
    </xf>
    <xf numFmtId="0" fontId="22" fillId="0" borderId="3"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22" fillId="0" borderId="4" xfId="0" applyFont="1" applyFill="1" applyBorder="1" applyAlignment="1">
      <alignment horizontal="left" vertical="center" wrapText="1"/>
    </xf>
    <xf numFmtId="0" fontId="22" fillId="0" borderId="18"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17"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11" fillId="0" borderId="46" xfId="0" applyFont="1" applyFill="1" applyBorder="1" applyAlignment="1">
      <alignment horizontal="left" vertical="top" wrapText="1"/>
    </xf>
    <xf numFmtId="0" fontId="11" fillId="0" borderId="19" xfId="0" applyFont="1" applyFill="1" applyBorder="1" applyAlignment="1">
      <alignment horizontal="left" vertical="top" wrapText="1"/>
    </xf>
    <xf numFmtId="0" fontId="11" fillId="0" borderId="45" xfId="0" applyFont="1" applyFill="1" applyBorder="1" applyAlignment="1">
      <alignment horizontal="left" vertical="top" wrapText="1"/>
    </xf>
    <xf numFmtId="0" fontId="11" fillId="0" borderId="39" xfId="0" applyFont="1" applyBorder="1" applyAlignment="1">
      <alignment horizontal="left" vertical="top" wrapText="1"/>
    </xf>
    <xf numFmtId="0" fontId="11" fillId="0" borderId="40" xfId="0" applyFont="1" applyBorder="1" applyAlignment="1">
      <alignment horizontal="left" vertical="top" wrapText="1"/>
    </xf>
    <xf numFmtId="0" fontId="11" fillId="0" borderId="70" xfId="0" applyFont="1" applyBorder="1" applyAlignment="1">
      <alignment horizontal="left" vertical="top" wrapText="1"/>
    </xf>
    <xf numFmtId="0" fontId="11" fillId="0" borderId="65" xfId="0" applyFont="1" applyBorder="1" applyAlignment="1">
      <alignment horizontal="left" vertical="top" wrapText="1"/>
    </xf>
    <xf numFmtId="0" fontId="11" fillId="0" borderId="60" xfId="0" applyFont="1" applyBorder="1" applyAlignment="1">
      <alignment horizontal="left" vertical="top" wrapText="1"/>
    </xf>
    <xf numFmtId="0" fontId="11" fillId="0" borderId="66" xfId="0" applyFont="1" applyBorder="1" applyAlignment="1">
      <alignment horizontal="left" vertical="top" wrapText="1"/>
    </xf>
    <xf numFmtId="0" fontId="5" fillId="6" borderId="62" xfId="0" applyFont="1" applyFill="1" applyBorder="1" applyAlignment="1">
      <alignment horizontal="center"/>
    </xf>
    <xf numFmtId="0" fontId="5" fillId="6" borderId="35" xfId="0" applyFont="1" applyFill="1" applyBorder="1" applyAlignment="1">
      <alignment horizontal="center"/>
    </xf>
    <xf numFmtId="0" fontId="5" fillId="6" borderId="21" xfId="0" applyFont="1" applyFill="1" applyBorder="1" applyAlignment="1">
      <alignment horizontal="center"/>
    </xf>
    <xf numFmtId="0" fontId="5" fillId="6" borderId="22" xfId="0" applyFont="1" applyFill="1" applyBorder="1" applyAlignment="1">
      <alignment horizontal="center"/>
    </xf>
    <xf numFmtId="0" fontId="0" fillId="4" borderId="74" xfId="0" applyFill="1" applyBorder="1" applyAlignment="1">
      <alignment horizontal="center"/>
    </xf>
    <xf numFmtId="0" fontId="0" fillId="4" borderId="75" xfId="0" applyFill="1" applyBorder="1" applyAlignment="1">
      <alignment horizontal="center"/>
    </xf>
    <xf numFmtId="0" fontId="7" fillId="0" borderId="0" xfId="0" applyFont="1" applyFill="1" applyBorder="1" applyAlignment="1">
      <alignment horizontal="center" vertical="center"/>
    </xf>
    <xf numFmtId="0" fontId="2" fillId="3" borderId="71" xfId="0" applyFont="1" applyFill="1" applyBorder="1" applyAlignment="1">
      <alignment horizontal="center" vertical="center"/>
    </xf>
    <xf numFmtId="0" fontId="2" fillId="3" borderId="22" xfId="0" applyFont="1" applyFill="1" applyBorder="1" applyAlignment="1">
      <alignment horizontal="center" vertical="center"/>
    </xf>
    <xf numFmtId="0" fontId="3" fillId="2" borderId="68" xfId="0" applyFont="1" applyFill="1" applyBorder="1" applyAlignment="1">
      <alignment horizontal="center" vertical="center"/>
    </xf>
    <xf numFmtId="0" fontId="3" fillId="2" borderId="69" xfId="0" applyFont="1" applyFill="1" applyBorder="1" applyAlignment="1">
      <alignment horizontal="center" vertical="center"/>
    </xf>
    <xf numFmtId="0" fontId="15" fillId="0" borderId="0" xfId="0" applyFont="1" applyAlignment="1">
      <alignment horizontal="right" vertical="center"/>
    </xf>
    <xf numFmtId="0" fontId="15" fillId="0" borderId="2" xfId="0" applyFont="1" applyBorder="1" applyAlignment="1">
      <alignment horizontal="right" vertical="center"/>
    </xf>
    <xf numFmtId="2" fontId="6" fillId="3" borderId="26" xfId="0" applyNumberFormat="1" applyFont="1" applyFill="1" applyBorder="1" applyAlignment="1">
      <alignment horizontal="center" vertical="center"/>
    </xf>
    <xf numFmtId="2" fontId="6" fillId="5" borderId="58" xfId="0" applyNumberFormat="1" applyFont="1" applyFill="1" applyBorder="1" applyAlignment="1">
      <alignment horizontal="center" vertical="center"/>
    </xf>
    <xf numFmtId="2" fontId="6" fillId="5" borderId="27" xfId="0" applyNumberFormat="1" applyFont="1" applyFill="1" applyBorder="1" applyAlignment="1">
      <alignment horizontal="center" vertical="center"/>
    </xf>
    <xf numFmtId="2" fontId="6" fillId="7" borderId="27" xfId="0" applyNumberFormat="1" applyFont="1" applyFill="1" applyBorder="1" applyAlignment="1">
      <alignment horizontal="center" vertical="center"/>
    </xf>
    <xf numFmtId="2" fontId="6" fillId="3" borderId="32" xfId="0" applyNumberFormat="1" applyFont="1" applyFill="1" applyBorder="1" applyAlignment="1">
      <alignment horizontal="center" vertical="center"/>
    </xf>
    <xf numFmtId="2" fontId="6" fillId="5" borderId="33" xfId="0" applyNumberFormat="1" applyFont="1" applyFill="1" applyBorder="1" applyAlignment="1">
      <alignment horizontal="center" vertical="center"/>
    </xf>
    <xf numFmtId="0" fontId="15" fillId="0" borderId="0" xfId="0" applyFont="1" applyBorder="1" applyAlignment="1">
      <alignment horizontal="right" vertical="center"/>
    </xf>
  </cellXfs>
  <cellStyles count="2">
    <cellStyle name="Normal" xfId="0" builtinId="0"/>
    <cellStyle name="Percent" xfId="1" builtinId="5"/>
  </cellStyles>
  <dxfs count="3">
    <dxf>
      <font>
        <b/>
        <i val="0"/>
        <color theme="0"/>
      </font>
      <fill>
        <patternFill>
          <bgColor rgb="FFCC0000"/>
        </patternFill>
      </fill>
    </dxf>
    <dxf>
      <font>
        <b/>
        <i val="0"/>
        <color theme="0"/>
      </font>
      <fill>
        <patternFill>
          <bgColor rgb="FFCC0000"/>
        </patternFill>
      </fill>
    </dxf>
    <dxf>
      <font>
        <b/>
        <i val="0"/>
        <color theme="0"/>
      </font>
      <fill>
        <patternFill>
          <bgColor rgb="FFCC0000"/>
        </patternFill>
      </fill>
    </dxf>
  </dxfs>
  <tableStyles count="0" defaultTableStyle="TableStyleMedium2" defaultPivotStyle="PivotStyleLight16"/>
  <colors>
    <mruColors>
      <color rgb="FFFFFF99"/>
      <color rgb="FFFFFFCC"/>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1D2A62-2E20-42EC-800C-B1BFBCA803D4}">
  <dimension ref="A1:Z76"/>
  <sheetViews>
    <sheetView tabSelected="1" zoomScaleNormal="100" workbookViewId="0">
      <selection activeCell="B2" sqref="B2:J3"/>
    </sheetView>
  </sheetViews>
  <sheetFormatPr defaultRowHeight="15" x14ac:dyDescent="0.25"/>
  <cols>
    <col min="1" max="1" width="4.5703125" customWidth="1"/>
    <col min="2" max="6" width="11.42578125" customWidth="1"/>
    <col min="7" max="10" width="17.85546875" customWidth="1"/>
    <col min="11" max="11" width="4.5703125" customWidth="1"/>
    <col min="14" max="14" width="7.42578125" bestFit="1" customWidth="1"/>
    <col min="15" max="15" width="8.28515625" bestFit="1" customWidth="1"/>
    <col min="16" max="16" width="5.5703125" bestFit="1" customWidth="1"/>
    <col min="17" max="17" width="6.42578125" bestFit="1" customWidth="1"/>
    <col min="18" max="18" width="5.5703125" bestFit="1" customWidth="1"/>
    <col min="19" max="19" width="6" bestFit="1" customWidth="1"/>
    <col min="20" max="20" width="5.85546875" bestFit="1" customWidth="1"/>
    <col min="21" max="21" width="6.7109375" bestFit="1" customWidth="1"/>
    <col min="22" max="22" width="6.85546875" bestFit="1" customWidth="1"/>
    <col min="23" max="23" width="7.7109375" bestFit="1" customWidth="1"/>
    <col min="24" max="24" width="5.140625" bestFit="1" customWidth="1"/>
    <col min="25" max="25" width="6" bestFit="1" customWidth="1"/>
    <col min="26" max="26" width="12.7109375" bestFit="1" customWidth="1"/>
  </cols>
  <sheetData>
    <row r="1" spans="1:26" ht="15.75" thickBot="1" x14ac:dyDescent="0.3"/>
    <row r="2" spans="1:26" ht="15" customHeight="1" thickBot="1" x14ac:dyDescent="0.3">
      <c r="B2" s="154" t="s">
        <v>156</v>
      </c>
      <c r="C2" s="155"/>
      <c r="D2" s="155"/>
      <c r="E2" s="155"/>
      <c r="F2" s="155"/>
      <c r="G2" s="155"/>
      <c r="H2" s="155"/>
      <c r="I2" s="155"/>
      <c r="J2" s="156"/>
      <c r="N2" s="178" t="s">
        <v>79</v>
      </c>
      <c r="O2" s="179"/>
      <c r="P2" s="179"/>
      <c r="Q2" s="179"/>
      <c r="R2" s="179"/>
      <c r="S2" s="179"/>
      <c r="T2" s="179"/>
      <c r="U2" s="179"/>
      <c r="V2" s="179"/>
      <c r="W2" s="179"/>
      <c r="X2" s="179"/>
      <c r="Y2" s="179"/>
      <c r="Z2" s="180"/>
    </row>
    <row r="3" spans="1:26" ht="15.75" customHeight="1" thickBot="1" x14ac:dyDescent="0.3">
      <c r="B3" s="157"/>
      <c r="C3" s="158"/>
      <c r="D3" s="158"/>
      <c r="E3" s="158"/>
      <c r="F3" s="158"/>
      <c r="G3" s="158"/>
      <c r="H3" s="158"/>
      <c r="I3" s="158"/>
      <c r="J3" s="159"/>
      <c r="N3" s="76" t="s">
        <v>75</v>
      </c>
      <c r="O3" s="77" t="s">
        <v>76</v>
      </c>
      <c r="P3" s="78" t="s">
        <v>12</v>
      </c>
      <c r="Q3" s="77" t="s">
        <v>13</v>
      </c>
      <c r="R3" s="78" t="s">
        <v>18</v>
      </c>
      <c r="S3" s="77" t="s">
        <v>19</v>
      </c>
      <c r="T3" s="78" t="s">
        <v>14</v>
      </c>
      <c r="U3" s="77" t="s">
        <v>15</v>
      </c>
      <c r="V3" s="78" t="s">
        <v>16</v>
      </c>
      <c r="W3" s="77" t="s">
        <v>17</v>
      </c>
      <c r="X3" s="78" t="s">
        <v>20</v>
      </c>
      <c r="Y3" s="77" t="s">
        <v>21</v>
      </c>
      <c r="Z3" s="81" t="s">
        <v>11</v>
      </c>
    </row>
    <row r="4" spans="1:26" ht="15.75" thickBot="1" x14ac:dyDescent="0.3">
      <c r="B4" s="30"/>
      <c r="C4" s="31"/>
      <c r="D4" s="129" t="s">
        <v>70</v>
      </c>
      <c r="E4" s="130" t="s">
        <v>71</v>
      </c>
      <c r="F4" s="130" t="s">
        <v>72</v>
      </c>
      <c r="G4" s="131" t="s">
        <v>154</v>
      </c>
      <c r="H4" s="71" t="s">
        <v>73</v>
      </c>
      <c r="I4" s="69" t="s">
        <v>74</v>
      </c>
      <c r="J4" s="70" t="s">
        <v>77</v>
      </c>
      <c r="N4" s="82">
        <v>0</v>
      </c>
      <c r="O4" s="83">
        <v>0</v>
      </c>
      <c r="P4" s="84">
        <v>0</v>
      </c>
      <c r="Q4" s="85">
        <v>0</v>
      </c>
      <c r="R4" s="84">
        <v>0</v>
      </c>
      <c r="S4" s="85">
        <v>0</v>
      </c>
      <c r="T4" s="84">
        <v>0</v>
      </c>
      <c r="U4" s="85">
        <v>0</v>
      </c>
      <c r="V4" s="84">
        <v>0</v>
      </c>
      <c r="W4" s="85">
        <v>0</v>
      </c>
      <c r="X4" s="84">
        <v>0</v>
      </c>
      <c r="Y4" s="85">
        <v>0</v>
      </c>
      <c r="Z4" s="79" t="s">
        <v>26</v>
      </c>
    </row>
    <row r="5" spans="1:26" ht="15.75" thickBot="1" x14ac:dyDescent="0.3">
      <c r="B5" s="17"/>
      <c r="C5" s="242" t="s">
        <v>66</v>
      </c>
      <c r="D5" s="72" t="str">
        <f>H11</f>
        <v>―</v>
      </c>
      <c r="E5" s="244">
        <v>35</v>
      </c>
      <c r="F5" s="244">
        <f>100-SUM(F6:F9)</f>
        <v>100</v>
      </c>
      <c r="G5" s="245" t="str">
        <f>IF(D5="―","―",IF(E5=F5,D5,D5*(F5/E5)))</f>
        <v>―</v>
      </c>
      <c r="H5" s="128" t="str">
        <f>IF(D5="―","Not Rated",SUM(G5:G9,IF(AND(G49&lt;0.95,NOT(ISBLANK(G49))),-5,0)))</f>
        <v>Not Rated</v>
      </c>
      <c r="I5" s="13" t="str">
        <f>IF($D$5="―","Not Rated",IF(AND(VLOOKUP($H$5,N$3:$Z$8,22-COLUMN(),TRUE)="Excellent",$G$12&lt;0.95,$G$12&lt;&gt;"―"),"Good",VLOOKUP($H$5,N$3:$Z$8,22-COLUMN(),TRUE)))</f>
        <v>Not Rated</v>
      </c>
      <c r="J5" s="14" t="str">
        <f>IF($D$5="―","Not Rated",IF(AND(VLOOKUP($H$5,O$3:$Z$8,22-COLUMN(),TRUE)="Excellent",$G$12&lt;0.95,$G$12&lt;&gt;"―"),"Good",VLOOKUP($H$5,O$3:$Z$8,22-COLUMN(),TRUE)))</f>
        <v>Not Rated</v>
      </c>
      <c r="N5" s="82">
        <v>33.5</v>
      </c>
      <c r="O5" s="83">
        <v>28.5</v>
      </c>
      <c r="P5" s="84">
        <v>9.6199999999999992</v>
      </c>
      <c r="Q5" s="85">
        <v>8.3699999999999992</v>
      </c>
      <c r="R5" s="84">
        <v>9.66</v>
      </c>
      <c r="S5" s="85">
        <v>10.15</v>
      </c>
      <c r="T5" s="84">
        <v>3.22</v>
      </c>
      <c r="U5" s="85">
        <v>3.23</v>
      </c>
      <c r="V5" s="84">
        <v>2</v>
      </c>
      <c r="W5" s="85">
        <v>2</v>
      </c>
      <c r="X5" s="84">
        <v>5.72</v>
      </c>
      <c r="Y5" s="85">
        <v>4.38</v>
      </c>
      <c r="Z5" s="79" t="s">
        <v>25</v>
      </c>
    </row>
    <row r="6" spans="1:26" x14ac:dyDescent="0.25">
      <c r="B6" s="17"/>
      <c r="C6" s="242" t="s">
        <v>67</v>
      </c>
      <c r="D6" s="73" t="str">
        <f>H26</f>
        <v>―</v>
      </c>
      <c r="E6" s="27">
        <v>35</v>
      </c>
      <c r="F6" s="27" t="str">
        <f>IF(D6="―","―",35+((30-SUM(F7:F9))/2))</f>
        <v>―</v>
      </c>
      <c r="G6" s="246" t="str">
        <f t="shared" ref="G6:G9" si="0">IF(D6="―","―",IF(E6=F6,D6,D6*(F6/E6)))</f>
        <v>―</v>
      </c>
      <c r="H6" s="164" t="s">
        <v>155</v>
      </c>
      <c r="I6" s="165"/>
      <c r="J6" s="166"/>
      <c r="N6" s="82">
        <v>41.5</v>
      </c>
      <c r="O6" s="83">
        <v>35.5</v>
      </c>
      <c r="P6" s="84">
        <v>13.36</v>
      </c>
      <c r="Q6" s="85">
        <v>12</v>
      </c>
      <c r="R6" s="84">
        <v>13.36</v>
      </c>
      <c r="S6" s="85">
        <v>13.38</v>
      </c>
      <c r="T6" s="84">
        <v>4.3499999999999996</v>
      </c>
      <c r="U6" s="85">
        <v>4.41</v>
      </c>
      <c r="V6" s="84">
        <v>4</v>
      </c>
      <c r="W6" s="85">
        <v>4</v>
      </c>
      <c r="X6" s="84">
        <v>6.71</v>
      </c>
      <c r="Y6" s="85">
        <v>5.45</v>
      </c>
      <c r="Z6" s="79" t="s">
        <v>24</v>
      </c>
    </row>
    <row r="7" spans="1:26" x14ac:dyDescent="0.25">
      <c r="B7" s="17"/>
      <c r="C7" s="242" t="s">
        <v>68</v>
      </c>
      <c r="D7" s="74" t="str">
        <f>H48</f>
        <v>―</v>
      </c>
      <c r="E7" s="27">
        <v>10</v>
      </c>
      <c r="F7" s="27" t="str">
        <f>IF(J50&lt;20,"―",E7)</f>
        <v>―</v>
      </c>
      <c r="G7" s="247" t="str">
        <f t="shared" si="0"/>
        <v>―</v>
      </c>
      <c r="H7" s="167"/>
      <c r="I7" s="168"/>
      <c r="J7" s="169"/>
      <c r="N7" s="82">
        <v>52.5</v>
      </c>
      <c r="O7" s="83">
        <v>47.5</v>
      </c>
      <c r="P7" s="84">
        <v>18.55</v>
      </c>
      <c r="Q7" s="85">
        <v>16.72</v>
      </c>
      <c r="R7" s="84">
        <v>17.920000000000002</v>
      </c>
      <c r="S7" s="85">
        <v>17.18</v>
      </c>
      <c r="T7" s="84">
        <v>5.76</v>
      </c>
      <c r="U7" s="85">
        <v>5.75</v>
      </c>
      <c r="V7" s="84">
        <v>6</v>
      </c>
      <c r="W7" s="85">
        <v>6</v>
      </c>
      <c r="X7" s="84">
        <v>7.64</v>
      </c>
      <c r="Y7" s="85">
        <v>6.63</v>
      </c>
      <c r="Z7" s="79" t="s">
        <v>23</v>
      </c>
    </row>
    <row r="8" spans="1:26" ht="15.75" thickBot="1" x14ac:dyDescent="0.3">
      <c r="B8" s="17"/>
      <c r="C8" s="242" t="s">
        <v>65</v>
      </c>
      <c r="D8" s="73" t="str">
        <f>H67</f>
        <v>―</v>
      </c>
      <c r="E8" s="27">
        <v>10</v>
      </c>
      <c r="F8" s="27" t="str">
        <f>IF(H69&lt;20,"―",E8)</f>
        <v>―</v>
      </c>
      <c r="G8" s="246" t="str">
        <f t="shared" si="0"/>
        <v>―</v>
      </c>
      <c r="H8" s="167"/>
      <c r="I8" s="168"/>
      <c r="J8" s="169"/>
      <c r="N8" s="86">
        <v>60.5</v>
      </c>
      <c r="O8" s="87">
        <v>55.5</v>
      </c>
      <c r="P8" s="88">
        <v>21.43</v>
      </c>
      <c r="Q8" s="89">
        <v>20.100000000000001</v>
      </c>
      <c r="R8" s="88">
        <v>21.45</v>
      </c>
      <c r="S8" s="89">
        <v>20.14</v>
      </c>
      <c r="T8" s="88">
        <v>6.54</v>
      </c>
      <c r="U8" s="89">
        <v>6.64</v>
      </c>
      <c r="V8" s="88">
        <v>8</v>
      </c>
      <c r="W8" s="89">
        <v>8</v>
      </c>
      <c r="X8" s="88">
        <v>8.2100000000000009</v>
      </c>
      <c r="Y8" s="89">
        <v>7.43</v>
      </c>
      <c r="Z8" s="80" t="s">
        <v>22</v>
      </c>
    </row>
    <row r="9" spans="1:26" ht="15.75" thickBot="1" x14ac:dyDescent="0.3">
      <c r="B9" s="64"/>
      <c r="C9" s="243" t="s">
        <v>69</v>
      </c>
      <c r="D9" s="12" t="str">
        <f>IF(ISBLANK(H72),"―",H72)</f>
        <v>―</v>
      </c>
      <c r="E9" s="248">
        <v>10</v>
      </c>
      <c r="F9" s="248" t="str">
        <f>IF(ISBLANK(H72),"―",E9)</f>
        <v>―</v>
      </c>
      <c r="G9" s="249" t="str">
        <f t="shared" si="0"/>
        <v>―</v>
      </c>
      <c r="H9" s="170"/>
      <c r="I9" s="171"/>
      <c r="J9" s="163"/>
      <c r="L9" s="75"/>
    </row>
    <row r="10" spans="1:26" x14ac:dyDescent="0.25">
      <c r="A10" s="153"/>
      <c r="B10" s="154" t="s">
        <v>0</v>
      </c>
      <c r="C10" s="155"/>
      <c r="D10" s="155"/>
      <c r="E10" s="155"/>
      <c r="F10" s="155"/>
      <c r="G10" s="156"/>
      <c r="H10" s="71" t="s">
        <v>28</v>
      </c>
      <c r="I10" s="69" t="s">
        <v>29</v>
      </c>
      <c r="J10" s="70" t="s">
        <v>30</v>
      </c>
    </row>
    <row r="11" spans="1:26" ht="15" customHeight="1" thickBot="1" x14ac:dyDescent="0.3">
      <c r="A11" s="153"/>
      <c r="B11" s="157"/>
      <c r="C11" s="158"/>
      <c r="D11" s="158"/>
      <c r="E11" s="158"/>
      <c r="F11" s="158"/>
      <c r="G11" s="159"/>
      <c r="H11" s="12" t="str">
        <f>IF(J13&lt;20,"―",IF(G12&lt;0.95,-5,0)+(35*(SUM(H15*3,H16*2,H17,I15*3,I16*2,I17)/(3*SUM(H15:I19)))))</f>
        <v>―</v>
      </c>
      <c r="I11" s="13" t="str">
        <f>IF($H$11="―","Not Rated",VLOOKUP($H11,P$3:$Z$8,20-COLUMN(),TRUE))</f>
        <v>Not Rated</v>
      </c>
      <c r="J11" s="14" t="str">
        <f>IF($H$11="―","Not Rated",VLOOKUP($H11,Q$3:$Z$8,20-COLUMN(),TRUE))</f>
        <v>Not Rated</v>
      </c>
    </row>
    <row r="12" spans="1:26" ht="15" customHeight="1" x14ac:dyDescent="0.25">
      <c r="B12" s="18"/>
      <c r="C12" s="19"/>
      <c r="D12" s="19"/>
      <c r="E12" s="19"/>
      <c r="F12" s="20" t="s">
        <v>31</v>
      </c>
      <c r="G12" s="55" t="str">
        <f>IF(J13&lt;20,"―",SUM(H15:I18)/SUM(H15:I19))</f>
        <v>―</v>
      </c>
      <c r="H12" s="33" t="s">
        <v>6</v>
      </c>
      <c r="I12" s="33" t="s">
        <v>7</v>
      </c>
      <c r="J12" s="34" t="s">
        <v>10</v>
      </c>
    </row>
    <row r="13" spans="1:26" x14ac:dyDescent="0.25">
      <c r="B13" s="17"/>
      <c r="G13" s="8" t="s">
        <v>9</v>
      </c>
      <c r="H13" s="22">
        <f>SUM(H15:H19)</f>
        <v>0</v>
      </c>
      <c r="I13" s="22">
        <f>SUM(I15:I19)</f>
        <v>0</v>
      </c>
      <c r="J13" s="25">
        <f>SUM(H13:I13)</f>
        <v>0</v>
      </c>
    </row>
    <row r="14" spans="1:26" x14ac:dyDescent="0.25">
      <c r="B14" s="17"/>
      <c r="G14" s="8" t="s">
        <v>8</v>
      </c>
      <c r="H14" s="23" t="str">
        <f>IF(H13&lt;20,"―",SUM(H15:H16)/H13)</f>
        <v>―</v>
      </c>
      <c r="I14" s="23" t="str">
        <f>IF(I13&lt;20,"―",SUM(I15:I16)/I13)</f>
        <v>―</v>
      </c>
      <c r="J14" s="26" t="str">
        <f>IF(J13&lt;20,"―",SUM(J15:J16)/J13)</f>
        <v>―</v>
      </c>
    </row>
    <row r="15" spans="1:26" x14ac:dyDescent="0.25">
      <c r="B15" s="17"/>
      <c r="G15" s="9" t="s">
        <v>1</v>
      </c>
      <c r="H15" s="56"/>
      <c r="I15" s="1"/>
      <c r="J15" s="25">
        <f t="shared" ref="J15:J19" si="1">SUM(H15:I15)</f>
        <v>0</v>
      </c>
    </row>
    <row r="16" spans="1:26" x14ac:dyDescent="0.25">
      <c r="B16" s="17"/>
      <c r="G16" s="9" t="s">
        <v>4</v>
      </c>
      <c r="H16" s="4"/>
      <c r="I16" s="2"/>
      <c r="J16" s="25">
        <f t="shared" si="1"/>
        <v>0</v>
      </c>
    </row>
    <row r="17" spans="1:10" x14ac:dyDescent="0.25">
      <c r="B17" s="17"/>
      <c r="G17" s="9" t="s">
        <v>3</v>
      </c>
      <c r="H17" s="4"/>
      <c r="I17" s="2"/>
      <c r="J17" s="25">
        <f t="shared" si="1"/>
        <v>0</v>
      </c>
    </row>
    <row r="18" spans="1:10" x14ac:dyDescent="0.25">
      <c r="B18" s="17"/>
      <c r="G18" s="9" t="s">
        <v>2</v>
      </c>
      <c r="H18" s="4"/>
      <c r="I18" s="2"/>
      <c r="J18" s="25">
        <f t="shared" si="1"/>
        <v>0</v>
      </c>
    </row>
    <row r="19" spans="1:10" x14ac:dyDescent="0.25">
      <c r="B19" s="17"/>
      <c r="G19" s="11" t="s">
        <v>5</v>
      </c>
      <c r="H19" s="6"/>
      <c r="I19" s="21"/>
      <c r="J19" s="35">
        <f t="shared" si="1"/>
        <v>0</v>
      </c>
    </row>
    <row r="20" spans="1:10" ht="15" customHeight="1" x14ac:dyDescent="0.25">
      <c r="B20" s="175" t="s">
        <v>57</v>
      </c>
      <c r="C20" s="176"/>
      <c r="D20" s="176"/>
      <c r="E20" s="176"/>
      <c r="F20" s="176"/>
      <c r="G20" s="176"/>
      <c r="H20" s="176"/>
      <c r="I20" s="176"/>
      <c r="J20" s="161"/>
    </row>
    <row r="21" spans="1:10" ht="15" customHeight="1" x14ac:dyDescent="0.25">
      <c r="B21" s="167"/>
      <c r="C21" s="168"/>
      <c r="D21" s="168"/>
      <c r="E21" s="168"/>
      <c r="F21" s="168"/>
      <c r="G21" s="168"/>
      <c r="H21" s="168"/>
      <c r="I21" s="168"/>
      <c r="J21" s="169"/>
    </row>
    <row r="22" spans="1:10" ht="15.75" customHeight="1" x14ac:dyDescent="0.25">
      <c r="B22" s="167"/>
      <c r="C22" s="168"/>
      <c r="D22" s="168"/>
      <c r="E22" s="168"/>
      <c r="F22" s="168"/>
      <c r="G22" s="168"/>
      <c r="H22" s="168"/>
      <c r="I22" s="168"/>
      <c r="J22" s="169"/>
    </row>
    <row r="23" spans="1:10" ht="15.75" customHeight="1" x14ac:dyDescent="0.25">
      <c r="B23" s="167"/>
      <c r="C23" s="168"/>
      <c r="D23" s="168"/>
      <c r="E23" s="168"/>
      <c r="F23" s="168"/>
      <c r="G23" s="168"/>
      <c r="H23" s="168"/>
      <c r="I23" s="168"/>
      <c r="J23" s="169"/>
    </row>
    <row r="24" spans="1:10" ht="15.75" customHeight="1" thickBot="1" x14ac:dyDescent="0.3">
      <c r="B24" s="167"/>
      <c r="C24" s="168"/>
      <c r="D24" s="168"/>
      <c r="E24" s="168"/>
      <c r="F24" s="168"/>
      <c r="G24" s="168"/>
      <c r="H24" s="168"/>
      <c r="I24" s="168"/>
      <c r="J24" s="169"/>
    </row>
    <row r="25" spans="1:10" x14ac:dyDescent="0.25">
      <c r="A25" s="153"/>
      <c r="B25" s="154" t="s">
        <v>27</v>
      </c>
      <c r="C25" s="155"/>
      <c r="D25" s="155"/>
      <c r="E25" s="155"/>
      <c r="F25" s="155"/>
      <c r="G25" s="156"/>
      <c r="H25" s="71" t="s">
        <v>28</v>
      </c>
      <c r="I25" s="69" t="s">
        <v>29</v>
      </c>
      <c r="J25" s="70" t="s">
        <v>30</v>
      </c>
    </row>
    <row r="26" spans="1:10" ht="15.75" thickBot="1" x14ac:dyDescent="0.3">
      <c r="A26" s="153"/>
      <c r="B26" s="157"/>
      <c r="C26" s="158"/>
      <c r="D26" s="158"/>
      <c r="E26" s="158"/>
      <c r="F26" s="158"/>
      <c r="G26" s="159"/>
      <c r="H26" s="12" t="str">
        <f>IF(SUM(E27:E28)&lt;20,"―",AVERAGE(H28:J28))</f>
        <v>―</v>
      </c>
      <c r="I26" s="13" t="str">
        <f>IF($H$26="―","Not Rated",VLOOKUP($H26,R$3:$Z$8,18-COLUMN(),TRUE))</f>
        <v>Not Rated</v>
      </c>
      <c r="J26" s="14" t="str">
        <f>IF($H$26="―","Not Rated",VLOOKUP($H26,S$3:$Z$8,18-COLUMN(),TRUE))</f>
        <v>Not Rated</v>
      </c>
    </row>
    <row r="27" spans="1:10" x14ac:dyDescent="0.25">
      <c r="B27" s="30"/>
      <c r="C27" s="31"/>
      <c r="D27" s="42" t="s">
        <v>54</v>
      </c>
      <c r="E27" s="22">
        <f>SUM(G30:H35)</f>
        <v>0</v>
      </c>
      <c r="F27" s="38" t="s">
        <v>32</v>
      </c>
      <c r="G27" s="38" t="s">
        <v>33</v>
      </c>
      <c r="H27" s="38" t="s">
        <v>34</v>
      </c>
      <c r="I27" s="38" t="s">
        <v>35</v>
      </c>
      <c r="J27" s="39" t="s">
        <v>36</v>
      </c>
    </row>
    <row r="28" spans="1:10" x14ac:dyDescent="0.25">
      <c r="B28" s="41"/>
      <c r="C28" s="10"/>
      <c r="D28" s="43" t="s">
        <v>55</v>
      </c>
      <c r="E28" s="22">
        <f>SUM(G37:H42)</f>
        <v>0</v>
      </c>
      <c r="F28" s="23" t="str">
        <f>IF(SUM(E27:E28)=0,"―",SUM(H30:H35,H37:H42)/SUM($E27,$E28))</f>
        <v>―</v>
      </c>
      <c r="G28" s="23" t="str">
        <f>IF(SUM(E27:E28)=0,"―",SUM(I30:I35,I37:I42)/SUM($E27,$E28))</f>
        <v>―</v>
      </c>
      <c r="H28" s="27" t="str">
        <f>IF(SUM(E27:E28)=0,"―",MAX(MIN(7*(((SUM(H30:H35,H37:H42)+SUM(SUM(I30,I37)*2,SUM(I31,I38)*3,SUM(I32,I39)*5,SUM(I33,I40)*7,SUM(I34,I41)*10,SUM(I35,I42)*13)+SUM(SUM(J30,J37)*0.55,SUM(J31,J38)*0.9,SUM(J32,J39)*1.625,SUM(J33,J40)*2.45,SUM(J34,J41)*3.75,SUM(J35,J42)*5.2))/SUM(E27:E28))-1),35),0))</f>
        <v>―</v>
      </c>
      <c r="I28" s="27" t="str">
        <f>IF(SUM(E27:E28)=0,"―",MAX(MIN(G28*100*(35/65),35),0))</f>
        <v>―</v>
      </c>
      <c r="J28" s="32"/>
    </row>
    <row r="29" spans="1:10" x14ac:dyDescent="0.25">
      <c r="B29" s="172" t="s">
        <v>47</v>
      </c>
      <c r="C29" s="173"/>
      <c r="D29" s="173"/>
      <c r="E29" s="173"/>
      <c r="F29" s="174"/>
      <c r="G29" s="132" t="s">
        <v>43</v>
      </c>
      <c r="H29" s="132" t="s">
        <v>44</v>
      </c>
      <c r="I29" s="132" t="s">
        <v>45</v>
      </c>
      <c r="J29" s="40" t="s">
        <v>46</v>
      </c>
    </row>
    <row r="30" spans="1:10" x14ac:dyDescent="0.25">
      <c r="B30" s="101"/>
      <c r="C30" s="99"/>
      <c r="D30" s="99"/>
      <c r="E30" s="99"/>
      <c r="F30" s="133" t="s">
        <v>37</v>
      </c>
      <c r="G30" s="134"/>
      <c r="H30" s="29"/>
      <c r="I30" s="3"/>
      <c r="J30" s="44">
        <f>H30-I30</f>
        <v>0</v>
      </c>
    </row>
    <row r="31" spans="1:10" x14ac:dyDescent="0.25">
      <c r="B31" s="17"/>
      <c r="C31" s="7"/>
      <c r="D31" s="7"/>
      <c r="E31" s="7"/>
      <c r="F31" s="9" t="s">
        <v>38</v>
      </c>
      <c r="G31" s="134"/>
      <c r="H31" s="28"/>
      <c r="I31" s="5"/>
      <c r="J31" s="45">
        <f t="shared" ref="J31:J35" si="2">H31-I31</f>
        <v>0</v>
      </c>
    </row>
    <row r="32" spans="1:10" x14ac:dyDescent="0.25">
      <c r="B32" s="17"/>
      <c r="C32" s="7"/>
      <c r="D32" s="7"/>
      <c r="E32" s="7"/>
      <c r="F32" s="9" t="s">
        <v>39</v>
      </c>
      <c r="G32" s="134"/>
      <c r="H32" s="28"/>
      <c r="I32" s="5"/>
      <c r="J32" s="45">
        <f t="shared" si="2"/>
        <v>0</v>
      </c>
    </row>
    <row r="33" spans="2:10" x14ac:dyDescent="0.25">
      <c r="B33" s="17"/>
      <c r="C33" s="7"/>
      <c r="D33" s="7"/>
      <c r="E33" s="7"/>
      <c r="F33" s="9" t="s">
        <v>40</v>
      </c>
      <c r="G33" s="134"/>
      <c r="H33" s="28"/>
      <c r="I33" s="5"/>
      <c r="J33" s="45">
        <f t="shared" si="2"/>
        <v>0</v>
      </c>
    </row>
    <row r="34" spans="2:10" x14ac:dyDescent="0.25">
      <c r="B34" s="17"/>
      <c r="C34" s="7"/>
      <c r="D34" s="7"/>
      <c r="E34" s="7"/>
      <c r="F34" s="9" t="s">
        <v>41</v>
      </c>
      <c r="G34" s="134"/>
      <c r="H34" s="28"/>
      <c r="I34" s="5"/>
      <c r="J34" s="45">
        <f t="shared" si="2"/>
        <v>0</v>
      </c>
    </row>
    <row r="35" spans="2:10" x14ac:dyDescent="0.25">
      <c r="B35" s="41"/>
      <c r="C35" s="10"/>
      <c r="D35" s="10"/>
      <c r="E35" s="10"/>
      <c r="F35" s="11" t="s">
        <v>42</v>
      </c>
      <c r="G35" s="134"/>
      <c r="H35" s="28"/>
      <c r="I35" s="5"/>
      <c r="J35" s="46">
        <f t="shared" si="2"/>
        <v>0</v>
      </c>
    </row>
    <row r="36" spans="2:10" x14ac:dyDescent="0.25">
      <c r="B36" s="172" t="s">
        <v>48</v>
      </c>
      <c r="C36" s="173"/>
      <c r="D36" s="173"/>
      <c r="E36" s="173"/>
      <c r="F36" s="174"/>
      <c r="G36" s="132" t="s">
        <v>49</v>
      </c>
      <c r="H36" s="132" t="s">
        <v>50</v>
      </c>
      <c r="I36" s="132" t="s">
        <v>51</v>
      </c>
      <c r="J36" s="40" t="s">
        <v>52</v>
      </c>
    </row>
    <row r="37" spans="2:10" x14ac:dyDescent="0.25">
      <c r="B37" s="101"/>
      <c r="C37" s="99"/>
      <c r="D37" s="99"/>
      <c r="E37" s="99"/>
      <c r="F37" s="133" t="s">
        <v>37</v>
      </c>
      <c r="G37" s="134"/>
      <c r="H37" s="29"/>
      <c r="I37" s="3"/>
      <c r="J37" s="44">
        <f>H37-I37</f>
        <v>0</v>
      </c>
    </row>
    <row r="38" spans="2:10" x14ac:dyDescent="0.25">
      <c r="B38" s="17"/>
      <c r="C38" s="7"/>
      <c r="D38" s="7"/>
      <c r="E38" s="7"/>
      <c r="F38" s="9" t="s">
        <v>38</v>
      </c>
      <c r="G38" s="134"/>
      <c r="H38" s="28"/>
      <c r="I38" s="5"/>
      <c r="J38" s="45">
        <f t="shared" ref="J38:J42" si="3">H38-I38</f>
        <v>0</v>
      </c>
    </row>
    <row r="39" spans="2:10" x14ac:dyDescent="0.25">
      <c r="B39" s="17"/>
      <c r="C39" s="7"/>
      <c r="D39" s="7"/>
      <c r="E39" s="7"/>
      <c r="F39" s="9" t="s">
        <v>39</v>
      </c>
      <c r="G39" s="134"/>
      <c r="H39" s="28"/>
      <c r="I39" s="5"/>
      <c r="J39" s="45">
        <f t="shared" si="3"/>
        <v>0</v>
      </c>
    </row>
    <row r="40" spans="2:10" x14ac:dyDescent="0.25">
      <c r="B40" s="17"/>
      <c r="C40" s="7"/>
      <c r="D40" s="7"/>
      <c r="E40" s="7"/>
      <c r="F40" s="9" t="s">
        <v>40</v>
      </c>
      <c r="G40" s="134"/>
      <c r="H40" s="28"/>
      <c r="I40" s="5"/>
      <c r="J40" s="45">
        <f t="shared" si="3"/>
        <v>0</v>
      </c>
    </row>
    <row r="41" spans="2:10" x14ac:dyDescent="0.25">
      <c r="B41" s="17"/>
      <c r="C41" s="7"/>
      <c r="D41" s="7"/>
      <c r="E41" s="7"/>
      <c r="F41" s="9" t="s">
        <v>41</v>
      </c>
      <c r="G41" s="134"/>
      <c r="H41" s="28"/>
      <c r="I41" s="5"/>
      <c r="J41" s="45">
        <f t="shared" si="3"/>
        <v>0</v>
      </c>
    </row>
    <row r="42" spans="2:10" x14ac:dyDescent="0.25">
      <c r="B42" s="41"/>
      <c r="C42" s="10"/>
      <c r="D42" s="10"/>
      <c r="E42" s="10"/>
      <c r="F42" s="11" t="s">
        <v>42</v>
      </c>
      <c r="G42" s="134"/>
      <c r="H42" s="28"/>
      <c r="I42" s="5"/>
      <c r="J42" s="46">
        <f t="shared" si="3"/>
        <v>0</v>
      </c>
    </row>
    <row r="43" spans="2:10" ht="15" customHeight="1" x14ac:dyDescent="0.25">
      <c r="B43" s="175" t="s">
        <v>53</v>
      </c>
      <c r="C43" s="176"/>
      <c r="D43" s="176"/>
      <c r="E43" s="176"/>
      <c r="F43" s="176"/>
      <c r="G43" s="176"/>
      <c r="H43" s="176"/>
      <c r="I43" s="176"/>
      <c r="J43" s="161"/>
    </row>
    <row r="44" spans="2:10" x14ac:dyDescent="0.25">
      <c r="B44" s="167"/>
      <c r="C44" s="177"/>
      <c r="D44" s="177"/>
      <c r="E44" s="177"/>
      <c r="F44" s="177"/>
      <c r="G44" s="177"/>
      <c r="H44" s="177"/>
      <c r="I44" s="177"/>
      <c r="J44" s="169"/>
    </row>
    <row r="45" spans="2:10" x14ac:dyDescent="0.25">
      <c r="B45" s="167"/>
      <c r="C45" s="177"/>
      <c r="D45" s="177"/>
      <c r="E45" s="177"/>
      <c r="F45" s="177"/>
      <c r="G45" s="177"/>
      <c r="H45" s="177"/>
      <c r="I45" s="177"/>
      <c r="J45" s="169"/>
    </row>
    <row r="46" spans="2:10" ht="15.75" thickBot="1" x14ac:dyDescent="0.3">
      <c r="B46" s="170"/>
      <c r="C46" s="171"/>
      <c r="D46" s="171"/>
      <c r="E46" s="171"/>
      <c r="F46" s="171"/>
      <c r="G46" s="171"/>
      <c r="H46" s="171"/>
      <c r="I46" s="171"/>
      <c r="J46" s="163"/>
    </row>
    <row r="47" spans="2:10" x14ac:dyDescent="0.25">
      <c r="B47" s="154" t="s">
        <v>56</v>
      </c>
      <c r="C47" s="155"/>
      <c r="D47" s="155"/>
      <c r="E47" s="155"/>
      <c r="F47" s="155"/>
      <c r="G47" s="156"/>
      <c r="H47" s="71" t="s">
        <v>28</v>
      </c>
      <c r="I47" s="69" t="s">
        <v>29</v>
      </c>
      <c r="J47" s="70" t="s">
        <v>30</v>
      </c>
    </row>
    <row r="48" spans="2:10" ht="15.75" thickBot="1" x14ac:dyDescent="0.3">
      <c r="B48" s="157"/>
      <c r="C48" s="158"/>
      <c r="D48" s="158"/>
      <c r="E48" s="158"/>
      <c r="F48" s="158"/>
      <c r="G48" s="159"/>
      <c r="H48" s="47" t="str">
        <f>IF(NOT(ISERROR(10*(SUM(H52*3,H53*2,H54,I52*3,I53*2,I54)/(3*SUM(H52:I56))))),10*(SUM(H52*3,H53*2,H54,I52*3,I53*2,I54)/(3*SUM(H52:I56))),"―")</f>
        <v>―</v>
      </c>
      <c r="I48" s="48" t="str">
        <f>IF(OR(ISERROR(VLOOKUP($H48,R$3:$Z$8,18-COLUMN(),TRUE)),J50&lt;20),"Not Rated",VLOOKUP($H48,R$3:$Z$8,18-COLUMN(),TRUE))</f>
        <v>Not Rated</v>
      </c>
      <c r="J48" s="49" t="str">
        <f>IF(OR(ISERROR(VLOOKUP($H48,S$3:$Z$8,18-COLUMN(),TRUE)),K50&lt;20),"Not Rated",VLOOKUP($H48,S$3:$Z$8,18-COLUMN(),TRUE))</f>
        <v>Not Rated</v>
      </c>
    </row>
    <row r="49" spans="2:10" x14ac:dyDescent="0.25">
      <c r="B49" s="18"/>
      <c r="C49" s="19"/>
      <c r="D49" s="19"/>
      <c r="E49" s="19"/>
      <c r="F49" s="20" t="s">
        <v>31</v>
      </c>
      <c r="G49" s="142"/>
      <c r="H49" s="143" t="s">
        <v>58</v>
      </c>
      <c r="I49" s="144" t="s">
        <v>59</v>
      </c>
      <c r="J49" s="145" t="s">
        <v>10</v>
      </c>
    </row>
    <row r="50" spans="2:10" x14ac:dyDescent="0.25">
      <c r="B50" s="17"/>
      <c r="C50" s="7"/>
      <c r="D50" s="7"/>
      <c r="E50" s="7"/>
      <c r="F50" s="7"/>
      <c r="G50" s="8" t="s">
        <v>9</v>
      </c>
      <c r="H50" s="36">
        <f>SUM(H52:H56)</f>
        <v>0</v>
      </c>
      <c r="I50" s="22">
        <f>SUM(I52:I56)</f>
        <v>0</v>
      </c>
      <c r="J50" s="25">
        <f>SUM(H50:I50)</f>
        <v>0</v>
      </c>
    </row>
    <row r="51" spans="2:10" x14ac:dyDescent="0.25">
      <c r="B51" s="17"/>
      <c r="C51" s="7"/>
      <c r="D51" s="7"/>
      <c r="E51" s="7"/>
      <c r="F51" s="7"/>
      <c r="G51" s="8" t="s">
        <v>8</v>
      </c>
      <c r="H51" s="52" t="str">
        <f>IF(NOT(ISERROR(SUM(H52:H53)/H50)),SUM(H52:H53)/H50,"―")</f>
        <v>―</v>
      </c>
      <c r="I51" s="23" t="str">
        <f>IF(NOT(ISERROR(SUM(I52:I53)/I50)),SUM(I52:I53)/I50,"―")</f>
        <v>―</v>
      </c>
      <c r="J51" s="26" t="str">
        <f>IF(NOT(ISERROR(SUM(J52:J53)/J50)),SUM(J52:J53)/J50,"―")</f>
        <v>―</v>
      </c>
    </row>
    <row r="52" spans="2:10" x14ac:dyDescent="0.25">
      <c r="B52" s="17"/>
      <c r="C52" s="7"/>
      <c r="D52" s="7"/>
      <c r="E52" s="7"/>
      <c r="F52" s="7"/>
      <c r="G52" s="9" t="s">
        <v>1</v>
      </c>
      <c r="H52" s="53" t="s">
        <v>60</v>
      </c>
      <c r="I52" s="50" t="s">
        <v>60</v>
      </c>
      <c r="J52" s="25">
        <f t="shared" ref="J52:J56" si="4">SUM(H52:I52)</f>
        <v>0</v>
      </c>
    </row>
    <row r="53" spans="2:10" x14ac:dyDescent="0.25">
      <c r="B53" s="17"/>
      <c r="C53" s="7"/>
      <c r="D53" s="7"/>
      <c r="E53" s="7"/>
      <c r="F53" s="7"/>
      <c r="G53" s="9" t="s">
        <v>4</v>
      </c>
      <c r="H53" s="54" t="s">
        <v>60</v>
      </c>
      <c r="I53" s="51" t="s">
        <v>60</v>
      </c>
      <c r="J53" s="25">
        <f t="shared" si="4"/>
        <v>0</v>
      </c>
    </row>
    <row r="54" spans="2:10" x14ac:dyDescent="0.25">
      <c r="B54" s="17"/>
      <c r="C54" s="7"/>
      <c r="D54" s="7"/>
      <c r="E54" s="7"/>
      <c r="F54" s="7"/>
      <c r="G54" s="9" t="s">
        <v>3</v>
      </c>
      <c r="H54" s="54" t="s">
        <v>60</v>
      </c>
      <c r="I54" s="51" t="s">
        <v>60</v>
      </c>
      <c r="J54" s="25">
        <f t="shared" si="4"/>
        <v>0</v>
      </c>
    </row>
    <row r="55" spans="2:10" x14ac:dyDescent="0.25">
      <c r="B55" s="17"/>
      <c r="C55" s="7"/>
      <c r="D55" s="7"/>
      <c r="E55" s="7"/>
      <c r="F55" s="7"/>
      <c r="G55" s="9" t="s">
        <v>2</v>
      </c>
      <c r="H55" s="54" t="s">
        <v>60</v>
      </c>
      <c r="I55" s="51" t="s">
        <v>60</v>
      </c>
      <c r="J55" s="25">
        <f t="shared" si="4"/>
        <v>0</v>
      </c>
    </row>
    <row r="56" spans="2:10" ht="15.75" thickBot="1" x14ac:dyDescent="0.3">
      <c r="B56" s="64"/>
      <c r="C56" s="65"/>
      <c r="D56" s="65"/>
      <c r="E56" s="65"/>
      <c r="F56" s="65"/>
      <c r="G56" s="138" t="s">
        <v>5</v>
      </c>
      <c r="H56" s="139" t="s">
        <v>60</v>
      </c>
      <c r="I56" s="140" t="s">
        <v>60</v>
      </c>
      <c r="J56" s="141">
        <f t="shared" si="4"/>
        <v>0</v>
      </c>
    </row>
    <row r="57" spans="2:10" ht="15" customHeight="1" x14ac:dyDescent="0.25">
      <c r="B57" s="146" t="s">
        <v>80</v>
      </c>
      <c r="C57" s="147"/>
      <c r="D57" s="147"/>
      <c r="E57" s="147"/>
      <c r="F57" s="147"/>
      <c r="G57" s="147"/>
      <c r="H57" s="147"/>
      <c r="I57" s="147"/>
      <c r="J57" s="148"/>
    </row>
    <row r="58" spans="2:10" x14ac:dyDescent="0.25">
      <c r="B58" s="146"/>
      <c r="C58" s="149"/>
      <c r="D58" s="149"/>
      <c r="E58" s="149"/>
      <c r="F58" s="149"/>
      <c r="G58" s="149"/>
      <c r="H58" s="149"/>
      <c r="I58" s="149"/>
      <c r="J58" s="148"/>
    </row>
    <row r="59" spans="2:10" x14ac:dyDescent="0.25">
      <c r="B59" s="146"/>
      <c r="C59" s="149"/>
      <c r="D59" s="149"/>
      <c r="E59" s="149"/>
      <c r="F59" s="149"/>
      <c r="G59" s="149"/>
      <c r="H59" s="149"/>
      <c r="I59" s="149"/>
      <c r="J59" s="148"/>
    </row>
    <row r="60" spans="2:10" x14ac:dyDescent="0.25">
      <c r="B60" s="146"/>
      <c r="C60" s="149"/>
      <c r="D60" s="149"/>
      <c r="E60" s="149"/>
      <c r="F60" s="149"/>
      <c r="G60" s="149"/>
      <c r="H60" s="149"/>
      <c r="I60" s="149"/>
      <c r="J60" s="148"/>
    </row>
    <row r="61" spans="2:10" x14ac:dyDescent="0.25">
      <c r="B61" s="146"/>
      <c r="C61" s="149"/>
      <c r="D61" s="149"/>
      <c r="E61" s="149"/>
      <c r="F61" s="149"/>
      <c r="G61" s="149"/>
      <c r="H61" s="149"/>
      <c r="I61" s="149"/>
      <c r="J61" s="148"/>
    </row>
    <row r="62" spans="2:10" x14ac:dyDescent="0.25">
      <c r="B62" s="146"/>
      <c r="C62" s="149"/>
      <c r="D62" s="149"/>
      <c r="E62" s="149"/>
      <c r="F62" s="149"/>
      <c r="G62" s="149"/>
      <c r="H62" s="149"/>
      <c r="I62" s="149"/>
      <c r="J62" s="148"/>
    </row>
    <row r="63" spans="2:10" x14ac:dyDescent="0.25">
      <c r="B63" s="146"/>
      <c r="C63" s="149"/>
      <c r="D63" s="149"/>
      <c r="E63" s="149"/>
      <c r="F63" s="149"/>
      <c r="G63" s="149"/>
      <c r="H63" s="149"/>
      <c r="I63" s="149"/>
      <c r="J63" s="148"/>
    </row>
    <row r="64" spans="2:10" x14ac:dyDescent="0.25">
      <c r="B64" s="146"/>
      <c r="C64" s="149"/>
      <c r="D64" s="149"/>
      <c r="E64" s="149"/>
      <c r="F64" s="149"/>
      <c r="G64" s="149"/>
      <c r="H64" s="149"/>
      <c r="I64" s="149"/>
      <c r="J64" s="148"/>
    </row>
    <row r="65" spans="1:10" ht="15.75" thickBot="1" x14ac:dyDescent="0.3">
      <c r="B65" s="150"/>
      <c r="C65" s="151"/>
      <c r="D65" s="151"/>
      <c r="E65" s="151"/>
      <c r="F65" s="151"/>
      <c r="G65" s="151"/>
      <c r="H65" s="151"/>
      <c r="I65" s="151"/>
      <c r="J65" s="152"/>
    </row>
    <row r="66" spans="1:10" x14ac:dyDescent="0.25">
      <c r="A66" s="153"/>
      <c r="B66" s="154" t="s">
        <v>61</v>
      </c>
      <c r="C66" s="155"/>
      <c r="D66" s="155"/>
      <c r="E66" s="155"/>
      <c r="F66" s="155"/>
      <c r="G66" s="156"/>
      <c r="H66" s="71" t="s">
        <v>28</v>
      </c>
      <c r="I66" s="69" t="s">
        <v>29</v>
      </c>
      <c r="J66" s="70" t="s">
        <v>30</v>
      </c>
    </row>
    <row r="67" spans="1:10" ht="15.75" thickBot="1" x14ac:dyDescent="0.3">
      <c r="A67" s="153"/>
      <c r="B67" s="157"/>
      <c r="C67" s="158"/>
      <c r="D67" s="158"/>
      <c r="E67" s="158"/>
      <c r="F67" s="158"/>
      <c r="G67" s="159"/>
      <c r="H67" s="12" t="str">
        <f>IF(H69&lt;20,"―",J68*10)</f>
        <v>―</v>
      </c>
      <c r="I67" s="13" t="str">
        <f>IF($H$67="―","Not Rated",VLOOKUP($H67,V$3:$Z$8,14-COLUMN(),TRUE))</f>
        <v>Not Rated</v>
      </c>
      <c r="J67" s="14" t="str">
        <f>IF($H$67="―","Not Rated",VLOOKUP($H67,W$3:$Z$8,14-COLUMN(),TRUE))</f>
        <v>Not Rated</v>
      </c>
    </row>
    <row r="68" spans="1:10" x14ac:dyDescent="0.25">
      <c r="B68" s="135"/>
      <c r="C68" s="136"/>
      <c r="D68" s="136"/>
      <c r="E68" s="136"/>
      <c r="F68" s="136"/>
      <c r="G68" s="137" t="s">
        <v>81</v>
      </c>
      <c r="H68" s="124"/>
      <c r="I68" s="125" t="s">
        <v>63</v>
      </c>
      <c r="J68" s="119" t="str">
        <f>IF(H69=0,"―",H68/H69)</f>
        <v>―</v>
      </c>
    </row>
    <row r="69" spans="1:10" ht="15" customHeight="1" x14ac:dyDescent="0.25">
      <c r="B69" s="17"/>
      <c r="G69" s="9" t="s">
        <v>116</v>
      </c>
      <c r="H69" s="28"/>
      <c r="I69" s="160" t="s">
        <v>115</v>
      </c>
      <c r="J69" s="161"/>
    </row>
    <row r="70" spans="1:10" ht="15.75" thickBot="1" x14ac:dyDescent="0.3">
      <c r="B70" s="64"/>
      <c r="C70" s="65"/>
      <c r="D70" s="65"/>
      <c r="E70" s="65"/>
      <c r="F70" s="65"/>
      <c r="G70" s="138" t="s">
        <v>62</v>
      </c>
      <c r="H70" s="67"/>
      <c r="I70" s="162"/>
      <c r="J70" s="163"/>
    </row>
    <row r="71" spans="1:10" x14ac:dyDescent="0.25">
      <c r="B71" s="154" t="s">
        <v>64</v>
      </c>
      <c r="C71" s="155"/>
      <c r="D71" s="155"/>
      <c r="E71" s="155"/>
      <c r="F71" s="155"/>
      <c r="G71" s="156"/>
      <c r="H71" s="71" t="s">
        <v>28</v>
      </c>
      <c r="I71" s="69" t="s">
        <v>29</v>
      </c>
      <c r="J71" s="70" t="s">
        <v>30</v>
      </c>
    </row>
    <row r="72" spans="1:10" ht="15.75" thickBot="1" x14ac:dyDescent="0.3">
      <c r="B72" s="157"/>
      <c r="C72" s="158"/>
      <c r="D72" s="158"/>
      <c r="E72" s="158"/>
      <c r="F72" s="158"/>
      <c r="G72" s="159"/>
      <c r="H72" s="68"/>
      <c r="I72" s="13" t="str">
        <f>IF(ISBLANK($H$72),"Not Rated",VLOOKUP($H72,X$3:$Z$8,12-COLUMN(),TRUE))</f>
        <v>Not Rated</v>
      </c>
      <c r="J72" s="14" t="str">
        <f>IF(ISBLANK($H$72),"Not Rated",VLOOKUP($H72,Y$3:$Z$8,12-COLUMN(),TRUE))</f>
        <v>Not Rated</v>
      </c>
    </row>
    <row r="73" spans="1:10" ht="15" customHeight="1" x14ac:dyDescent="0.25">
      <c r="B73" s="164" t="s">
        <v>78</v>
      </c>
      <c r="C73" s="165"/>
      <c r="D73" s="165"/>
      <c r="E73" s="165"/>
      <c r="F73" s="165"/>
      <c r="G73" s="165"/>
      <c r="H73" s="165"/>
      <c r="I73" s="165"/>
      <c r="J73" s="166"/>
    </row>
    <row r="74" spans="1:10" x14ac:dyDescent="0.25">
      <c r="B74" s="167"/>
      <c r="C74" s="168"/>
      <c r="D74" s="168"/>
      <c r="E74" s="168"/>
      <c r="F74" s="168"/>
      <c r="G74" s="168"/>
      <c r="H74" s="168"/>
      <c r="I74" s="168"/>
      <c r="J74" s="169"/>
    </row>
    <row r="75" spans="1:10" x14ac:dyDescent="0.25">
      <c r="B75" s="167"/>
      <c r="C75" s="168"/>
      <c r="D75" s="168"/>
      <c r="E75" s="168"/>
      <c r="F75" s="168"/>
      <c r="G75" s="168"/>
      <c r="H75" s="168"/>
      <c r="I75" s="168"/>
      <c r="J75" s="169"/>
    </row>
    <row r="76" spans="1:10" ht="15.75" thickBot="1" x14ac:dyDescent="0.3">
      <c r="B76" s="170"/>
      <c r="C76" s="171"/>
      <c r="D76" s="171"/>
      <c r="E76" s="171"/>
      <c r="F76" s="171"/>
      <c r="G76" s="171"/>
      <c r="H76" s="171"/>
      <c r="I76" s="171"/>
      <c r="J76" s="163"/>
    </row>
  </sheetData>
  <mergeCells count="18">
    <mergeCell ref="B20:J24"/>
    <mergeCell ref="B2:J3"/>
    <mergeCell ref="N2:Z2"/>
    <mergeCell ref="H6:J9"/>
    <mergeCell ref="A10:A11"/>
    <mergeCell ref="B10:G11"/>
    <mergeCell ref="B73:J76"/>
    <mergeCell ref="A25:A26"/>
    <mergeCell ref="B25:G26"/>
    <mergeCell ref="B29:F29"/>
    <mergeCell ref="B36:F36"/>
    <mergeCell ref="B43:J46"/>
    <mergeCell ref="B47:G48"/>
    <mergeCell ref="B57:J65"/>
    <mergeCell ref="A66:A67"/>
    <mergeCell ref="B66:G67"/>
    <mergeCell ref="I69:J70"/>
    <mergeCell ref="B71:G72"/>
  </mergeCells>
  <conditionalFormatting sqref="G12 G49">
    <cfRule type="cellIs" dxfId="2" priority="1" operator="between">
      <formula>0.000001</formula>
      <formula>0.9445</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53D9E-11EB-4C5E-81CC-502CFE13DC17}">
  <dimension ref="A1:V100"/>
  <sheetViews>
    <sheetView zoomScaleNormal="100" workbookViewId="0">
      <selection activeCell="B2" sqref="B2:J3"/>
    </sheetView>
  </sheetViews>
  <sheetFormatPr defaultRowHeight="15" x14ac:dyDescent="0.25"/>
  <cols>
    <col min="1" max="1" width="4.5703125" style="15" customWidth="1"/>
    <col min="2" max="7" width="11.7109375" customWidth="1"/>
    <col min="8" max="10" width="18.28515625" customWidth="1"/>
    <col min="11" max="11" width="4.5703125" customWidth="1"/>
    <col min="14" max="14" width="7.7109375" bestFit="1" customWidth="1"/>
    <col min="15" max="15" width="5.85546875" style="7" bestFit="1" customWidth="1"/>
    <col min="16" max="16" width="6.140625" style="7" bestFit="1" customWidth="1"/>
    <col min="17" max="17" width="5.85546875" style="7" bestFit="1" customWidth="1"/>
    <col min="18" max="18" width="6.7109375" style="7" bestFit="1" customWidth="1"/>
    <col min="19" max="19" width="5.28515625" style="7" bestFit="1" customWidth="1"/>
    <col min="20" max="20" width="7.140625" style="7" bestFit="1" customWidth="1"/>
    <col min="21" max="21" width="5.42578125" bestFit="1" customWidth="1"/>
    <col min="22" max="22" width="12.7109375" bestFit="1" customWidth="1"/>
  </cols>
  <sheetData>
    <row r="1" spans="1:22" ht="15.75" thickBot="1" x14ac:dyDescent="0.3"/>
    <row r="2" spans="1:22" ht="15" customHeight="1" thickBot="1" x14ac:dyDescent="0.3">
      <c r="B2" s="154" t="s">
        <v>156</v>
      </c>
      <c r="C2" s="155"/>
      <c r="D2" s="155"/>
      <c r="E2" s="155"/>
      <c r="F2" s="155"/>
      <c r="G2" s="155"/>
      <c r="H2" s="155"/>
      <c r="I2" s="155"/>
      <c r="J2" s="156"/>
      <c r="N2" s="178" t="s">
        <v>79</v>
      </c>
      <c r="O2" s="179"/>
      <c r="P2" s="179"/>
      <c r="Q2" s="179"/>
      <c r="R2" s="179"/>
      <c r="S2" s="179"/>
      <c r="T2" s="179"/>
      <c r="U2" s="179"/>
      <c r="V2" s="180"/>
    </row>
    <row r="3" spans="1:22" ht="15.75" customHeight="1" thickBot="1" x14ac:dyDescent="0.3">
      <c r="B3" s="157"/>
      <c r="C3" s="158"/>
      <c r="D3" s="158"/>
      <c r="E3" s="158"/>
      <c r="F3" s="158"/>
      <c r="G3" s="158"/>
      <c r="H3" s="158"/>
      <c r="I3" s="158"/>
      <c r="J3" s="159"/>
      <c r="N3" s="76" t="s">
        <v>82</v>
      </c>
      <c r="O3" s="90" t="s">
        <v>83</v>
      </c>
      <c r="P3" s="90" t="s">
        <v>84</v>
      </c>
      <c r="Q3" s="90" t="s">
        <v>87</v>
      </c>
      <c r="R3" s="90" t="s">
        <v>88</v>
      </c>
      <c r="S3" s="90" t="s">
        <v>89</v>
      </c>
      <c r="T3" s="90" t="s">
        <v>86</v>
      </c>
      <c r="U3" s="77" t="s">
        <v>85</v>
      </c>
      <c r="V3" s="81" t="s">
        <v>11</v>
      </c>
    </row>
    <row r="4" spans="1:22" ht="15.75" thickBot="1" x14ac:dyDescent="0.3">
      <c r="B4" s="30"/>
      <c r="C4" s="31"/>
      <c r="D4" s="129" t="s">
        <v>70</v>
      </c>
      <c r="E4" s="130" t="s">
        <v>71</v>
      </c>
      <c r="F4" s="130" t="s">
        <v>72</v>
      </c>
      <c r="G4" s="131" t="s">
        <v>157</v>
      </c>
      <c r="H4" s="240" t="s">
        <v>105</v>
      </c>
      <c r="I4" s="71" t="s">
        <v>73</v>
      </c>
      <c r="J4" s="70" t="s">
        <v>104</v>
      </c>
      <c r="N4" s="82">
        <v>0</v>
      </c>
      <c r="O4" s="91">
        <v>0</v>
      </c>
      <c r="P4" s="91">
        <v>0</v>
      </c>
      <c r="Q4" s="91">
        <v>0</v>
      </c>
      <c r="R4" s="91">
        <v>0</v>
      </c>
      <c r="S4" s="91">
        <v>0</v>
      </c>
      <c r="T4" s="91">
        <v>0</v>
      </c>
      <c r="U4" s="85">
        <v>0</v>
      </c>
      <c r="V4" s="79" t="s">
        <v>26</v>
      </c>
    </row>
    <row r="5" spans="1:22" ht="15.75" thickBot="1" x14ac:dyDescent="0.3">
      <c r="B5" s="17"/>
      <c r="C5" s="250" t="s">
        <v>66</v>
      </c>
      <c r="D5" s="72" t="str">
        <f>$I$13</f>
        <v>―</v>
      </c>
      <c r="E5" s="244">
        <v>25</v>
      </c>
      <c r="F5" s="244" t="str">
        <f>IF(D5="―","―",IF(D7="―",100-SUM(F6:F11),E5+((56-SUM(F6,F8:F11))/2)))</f>
        <v>―</v>
      </c>
      <c r="G5" s="245" t="str">
        <f t="shared" ref="G5:G11" si="0">IF(D5="―","―",IF(E5=F5,D5,D5*(F5/E5)))</f>
        <v>―</v>
      </c>
      <c r="H5" s="241"/>
      <c r="I5" s="128" t="str">
        <f>IF(AND(D5="―",D7="―"),"Not Rated",SUM(G5:G11))</f>
        <v>Not Rated</v>
      </c>
      <c r="J5" s="14" t="str">
        <f>IF(D5="―","Not Rated",VLOOKUP(I5,N3:V8,9,TRUE))</f>
        <v>Not Rated</v>
      </c>
      <c r="N5" s="82">
        <v>39.5</v>
      </c>
      <c r="O5" s="91">
        <v>7.22</v>
      </c>
      <c r="P5" s="91">
        <v>2.42</v>
      </c>
      <c r="Q5" s="91">
        <v>7.6</v>
      </c>
      <c r="R5" s="91">
        <v>6.46</v>
      </c>
      <c r="S5" s="91">
        <v>4.8</v>
      </c>
      <c r="T5" s="91">
        <v>2</v>
      </c>
      <c r="U5" s="85">
        <v>2.3199999999999998</v>
      </c>
      <c r="V5" s="79" t="s">
        <v>25</v>
      </c>
    </row>
    <row r="6" spans="1:22" ht="15" customHeight="1" x14ac:dyDescent="0.25">
      <c r="B6" s="17"/>
      <c r="C6" s="250" t="s">
        <v>68</v>
      </c>
      <c r="D6" s="73" t="str">
        <f>I31</f>
        <v>―</v>
      </c>
      <c r="E6" s="27">
        <v>10</v>
      </c>
      <c r="F6" s="27" t="str">
        <f>IF(J33&lt;20,"―",E6)</f>
        <v>―</v>
      </c>
      <c r="G6" s="246" t="str">
        <f t="shared" si="0"/>
        <v>―</v>
      </c>
      <c r="H6" s="213" t="s">
        <v>149</v>
      </c>
      <c r="I6" s="214"/>
      <c r="J6" s="215"/>
      <c r="N6" s="82">
        <v>50.5</v>
      </c>
      <c r="O6" s="91">
        <v>10.220000000000001</v>
      </c>
      <c r="P6" s="91">
        <v>3.74</v>
      </c>
      <c r="Q6" s="91">
        <v>10.130000000000001</v>
      </c>
      <c r="R6" s="91">
        <v>9.5</v>
      </c>
      <c r="S6" s="91">
        <v>6.4</v>
      </c>
      <c r="T6" s="91">
        <v>4</v>
      </c>
      <c r="U6" s="85">
        <v>2.79</v>
      </c>
      <c r="V6" s="79" t="s">
        <v>24</v>
      </c>
    </row>
    <row r="7" spans="1:22" x14ac:dyDescent="0.25">
      <c r="B7" s="17"/>
      <c r="C7" s="250" t="s">
        <v>91</v>
      </c>
      <c r="D7" s="73" t="str">
        <f>I47</f>
        <v>―</v>
      </c>
      <c r="E7" s="27">
        <v>19</v>
      </c>
      <c r="F7" s="27" t="str">
        <f>IF(D7="―","―",IF(D5="―",100-SUM(F5:F6,F8:F11),E7+((56-SUM(F6,F8:F11))/2)))</f>
        <v>―</v>
      </c>
      <c r="G7" s="246" t="str">
        <f t="shared" si="0"/>
        <v>―</v>
      </c>
      <c r="H7" s="216"/>
      <c r="I7" s="217"/>
      <c r="J7" s="218"/>
      <c r="N7" s="82">
        <v>59.5</v>
      </c>
      <c r="O7" s="91">
        <v>13.45</v>
      </c>
      <c r="P7" s="91">
        <v>5.3</v>
      </c>
      <c r="Q7" s="91">
        <v>12.67</v>
      </c>
      <c r="R7" s="91">
        <v>12.92</v>
      </c>
      <c r="S7" s="91">
        <v>8</v>
      </c>
      <c r="T7" s="91">
        <v>6</v>
      </c>
      <c r="U7" s="85">
        <v>3.4</v>
      </c>
      <c r="V7" s="79" t="s">
        <v>23</v>
      </c>
    </row>
    <row r="8" spans="1:22" ht="15.75" thickBot="1" x14ac:dyDescent="0.3">
      <c r="B8" s="17"/>
      <c r="C8" s="250" t="s">
        <v>92</v>
      </c>
      <c r="D8" s="73" t="str">
        <f>I52</f>
        <v>―</v>
      </c>
      <c r="E8" s="27">
        <v>19</v>
      </c>
      <c r="F8" s="27" t="str">
        <f>IF(H50&lt;20,"―",E8)</f>
        <v>―</v>
      </c>
      <c r="G8" s="246" t="str">
        <f t="shared" si="0"/>
        <v>―</v>
      </c>
      <c r="H8" s="216"/>
      <c r="I8" s="217"/>
      <c r="J8" s="218"/>
      <c r="N8" s="86">
        <v>66.5</v>
      </c>
      <c r="O8" s="92">
        <v>15.91</v>
      </c>
      <c r="P8" s="92">
        <v>6.2</v>
      </c>
      <c r="Q8" s="92">
        <v>15.2</v>
      </c>
      <c r="R8" s="92">
        <v>14.82</v>
      </c>
      <c r="S8" s="92">
        <v>9.6</v>
      </c>
      <c r="T8" s="92">
        <v>8</v>
      </c>
      <c r="U8" s="89">
        <v>3.76</v>
      </c>
      <c r="V8" s="80" t="s">
        <v>22</v>
      </c>
    </row>
    <row r="9" spans="1:22" x14ac:dyDescent="0.25">
      <c r="B9" s="17"/>
      <c r="C9" s="250" t="s">
        <v>90</v>
      </c>
      <c r="D9" s="73" t="str">
        <f>I67</f>
        <v>―</v>
      </c>
      <c r="E9" s="27">
        <v>12</v>
      </c>
      <c r="F9" s="27" t="str">
        <f>IF(F68&lt;20,"―",E9)</f>
        <v>―</v>
      </c>
      <c r="G9" s="246" t="str">
        <f t="shared" si="0"/>
        <v>―</v>
      </c>
      <c r="H9" s="216"/>
      <c r="I9" s="217"/>
      <c r="J9" s="218"/>
      <c r="L9" s="75"/>
    </row>
    <row r="10" spans="1:22" x14ac:dyDescent="0.25">
      <c r="B10" s="17"/>
      <c r="C10" s="250" t="s">
        <v>65</v>
      </c>
      <c r="D10" s="73" t="str">
        <f>I80</f>
        <v>―</v>
      </c>
      <c r="E10" s="27">
        <v>10</v>
      </c>
      <c r="F10" s="27" t="str">
        <f>IF(H82&lt;20,"―",E10)</f>
        <v>―</v>
      </c>
      <c r="G10" s="246" t="str">
        <f t="shared" si="0"/>
        <v>―</v>
      </c>
      <c r="H10" s="216"/>
      <c r="I10" s="217"/>
      <c r="J10" s="218"/>
    </row>
    <row r="11" spans="1:22" ht="15" customHeight="1" thickBot="1" x14ac:dyDescent="0.3">
      <c r="B11" s="64"/>
      <c r="C11" s="243" t="s">
        <v>69</v>
      </c>
      <c r="D11" s="12" t="str">
        <f>IF(ISBLANK(I85),"―",I85)</f>
        <v>―</v>
      </c>
      <c r="E11" s="248">
        <v>5</v>
      </c>
      <c r="F11" s="248" t="str">
        <f>IF(ISBLANK(I85),"―",E11)</f>
        <v>―</v>
      </c>
      <c r="G11" s="249" t="str">
        <f t="shared" si="0"/>
        <v>―</v>
      </c>
      <c r="H11" s="219"/>
      <c r="I11" s="220"/>
      <c r="J11" s="221"/>
    </row>
    <row r="12" spans="1:22" ht="15" customHeight="1" x14ac:dyDescent="0.25">
      <c r="A12" s="93"/>
      <c r="B12" s="154" t="s">
        <v>0</v>
      </c>
      <c r="C12" s="155"/>
      <c r="D12" s="155"/>
      <c r="E12" s="155"/>
      <c r="F12" s="155"/>
      <c r="G12" s="155"/>
      <c r="H12" s="156"/>
      <c r="I12" s="69" t="s">
        <v>28</v>
      </c>
      <c r="J12" s="70" t="s">
        <v>103</v>
      </c>
    </row>
    <row r="13" spans="1:22" ht="15" customHeight="1" thickBot="1" x14ac:dyDescent="0.3">
      <c r="A13" s="93"/>
      <c r="B13" s="157"/>
      <c r="C13" s="158"/>
      <c r="D13" s="158"/>
      <c r="E13" s="158"/>
      <c r="F13" s="158"/>
      <c r="G13" s="158"/>
      <c r="H13" s="159"/>
      <c r="I13" s="16" t="str">
        <f>IF(J15&lt;20,"―",IF(G14&lt;0.95,-5,0)+(25*(SUM(J17*4,J18*3,J19*2,J20)/SUM(3*J23,4*J24))))</f>
        <v>―</v>
      </c>
      <c r="J13" s="14" t="str">
        <f>IF($I$13="―","Not Rated",VLOOKUP($I13,O3:V8,8,TRUE))</f>
        <v>Not Rated</v>
      </c>
    </row>
    <row r="14" spans="1:22" ht="15" customHeight="1" x14ac:dyDescent="0.25">
      <c r="B14" s="106"/>
      <c r="C14" s="107"/>
      <c r="D14" s="107"/>
      <c r="E14" s="107"/>
      <c r="F14" s="108" t="s">
        <v>31</v>
      </c>
      <c r="G14" s="55" t="str">
        <f>IF(J15&lt;20,"―",SUM(H17:I21)/SUM(H17:I22))</f>
        <v>―</v>
      </c>
      <c r="H14" s="33" t="s">
        <v>93</v>
      </c>
      <c r="I14" s="33" t="s">
        <v>94</v>
      </c>
      <c r="J14" s="34" t="s">
        <v>10</v>
      </c>
    </row>
    <row r="15" spans="1:22" ht="15" customHeight="1" x14ac:dyDescent="0.25">
      <c r="B15" s="17"/>
      <c r="C15" s="7"/>
      <c r="D15" s="7"/>
      <c r="E15" s="7"/>
      <c r="F15" s="7"/>
      <c r="G15" s="8" t="s">
        <v>9</v>
      </c>
      <c r="H15" s="22">
        <f>SUM(H23:H24)</f>
        <v>0</v>
      </c>
      <c r="I15" s="22">
        <f>SUM(I23:I24)</f>
        <v>0</v>
      </c>
      <c r="J15" s="25">
        <f>SUM(J23:J24)</f>
        <v>0</v>
      </c>
    </row>
    <row r="16" spans="1:22" ht="15" customHeight="1" x14ac:dyDescent="0.25">
      <c r="B16" s="17"/>
      <c r="C16" s="7"/>
      <c r="D16" s="7"/>
      <c r="E16" s="7"/>
      <c r="F16" s="7"/>
      <c r="G16" s="8" t="s">
        <v>95</v>
      </c>
      <c r="H16" s="23" t="str">
        <f>IF(H15&lt;20,"―",SUM(H17:H19)/H15)</f>
        <v>―</v>
      </c>
      <c r="I16" s="23" t="str">
        <f>IF(I15&lt;20,"―",SUM(I17:I19)/I15)</f>
        <v>―</v>
      </c>
      <c r="J16" s="26" t="str">
        <f>IF(J15&lt;20,"―",SUM(J17:J19)/J15)</f>
        <v>―</v>
      </c>
    </row>
    <row r="17" spans="1:10" x14ac:dyDescent="0.25">
      <c r="B17" s="17"/>
      <c r="C17" s="7"/>
      <c r="D17" s="7"/>
      <c r="E17" s="7"/>
      <c r="F17" s="7"/>
      <c r="G17" s="9" t="s">
        <v>102</v>
      </c>
      <c r="H17" s="56"/>
      <c r="I17" s="1"/>
      <c r="J17" s="25">
        <f t="shared" ref="J17:J24" si="1">SUM(H17:I17)</f>
        <v>0</v>
      </c>
    </row>
    <row r="18" spans="1:10" x14ac:dyDescent="0.25">
      <c r="B18" s="17"/>
      <c r="C18" s="7"/>
      <c r="D18" s="7"/>
      <c r="E18" s="7"/>
      <c r="F18" s="7"/>
      <c r="G18" s="9" t="s">
        <v>96</v>
      </c>
      <c r="H18" s="4"/>
      <c r="I18" s="2"/>
      <c r="J18" s="25">
        <f t="shared" si="1"/>
        <v>0</v>
      </c>
    </row>
    <row r="19" spans="1:10" x14ac:dyDescent="0.25">
      <c r="B19" s="17"/>
      <c r="C19" s="7"/>
      <c r="D19" s="7"/>
      <c r="E19" s="7"/>
      <c r="F19" s="7"/>
      <c r="G19" s="9" t="s">
        <v>97</v>
      </c>
      <c r="H19" s="4"/>
      <c r="I19" s="2"/>
      <c r="J19" s="25">
        <f t="shared" ref="J19" si="2">SUM(H19:I19)</f>
        <v>0</v>
      </c>
    </row>
    <row r="20" spans="1:10" ht="15" customHeight="1" x14ac:dyDescent="0.25">
      <c r="B20" s="17"/>
      <c r="C20" s="7"/>
      <c r="D20" s="7"/>
      <c r="E20" s="7"/>
      <c r="F20" s="7"/>
      <c r="G20" s="9" t="s">
        <v>98</v>
      </c>
      <c r="H20" s="4"/>
      <c r="I20" s="2"/>
      <c r="J20" s="25">
        <f t="shared" si="1"/>
        <v>0</v>
      </c>
    </row>
    <row r="21" spans="1:10" ht="15" customHeight="1" x14ac:dyDescent="0.25">
      <c r="B21" s="17"/>
      <c r="C21" s="7"/>
      <c r="D21" s="7"/>
      <c r="E21" s="7"/>
      <c r="F21" s="7"/>
      <c r="G21" s="9" t="s">
        <v>99</v>
      </c>
      <c r="H21" s="4"/>
      <c r="I21" s="2"/>
      <c r="J21" s="25">
        <f t="shared" si="1"/>
        <v>0</v>
      </c>
    </row>
    <row r="22" spans="1:10" ht="15.75" customHeight="1" x14ac:dyDescent="0.25">
      <c r="B22" s="17"/>
      <c r="C22" s="7"/>
      <c r="D22" s="7"/>
      <c r="E22" s="7"/>
      <c r="F22" s="7"/>
      <c r="G22" s="9" t="s">
        <v>5</v>
      </c>
      <c r="H22" s="94"/>
      <c r="I22" s="21"/>
      <c r="J22" s="25">
        <f t="shared" si="1"/>
        <v>0</v>
      </c>
    </row>
    <row r="23" spans="1:10" ht="15.75" customHeight="1" x14ac:dyDescent="0.25">
      <c r="B23" s="17"/>
      <c r="C23" s="7"/>
      <c r="D23" s="7"/>
      <c r="E23" s="7"/>
      <c r="F23" s="7"/>
      <c r="G23" s="9" t="s">
        <v>100</v>
      </c>
      <c r="H23" s="94"/>
      <c r="I23" s="21"/>
      <c r="J23" s="35">
        <f t="shared" si="1"/>
        <v>0</v>
      </c>
    </row>
    <row r="24" spans="1:10" ht="15.75" customHeight="1" x14ac:dyDescent="0.25">
      <c r="B24" s="17"/>
      <c r="C24" s="7"/>
      <c r="D24" s="7"/>
      <c r="E24" s="7"/>
      <c r="F24" s="7"/>
      <c r="G24" s="11" t="s">
        <v>101</v>
      </c>
      <c r="H24" s="22">
        <f>SUM(H17:H22)-H23</f>
        <v>0</v>
      </c>
      <c r="I24" s="22">
        <f>SUM(I17:I22)-I23</f>
        <v>0</v>
      </c>
      <c r="J24" s="25">
        <f t="shared" si="1"/>
        <v>0</v>
      </c>
    </row>
    <row r="25" spans="1:10" x14ac:dyDescent="0.25">
      <c r="B25" s="222" t="s">
        <v>57</v>
      </c>
      <c r="C25" s="223"/>
      <c r="D25" s="223"/>
      <c r="E25" s="223"/>
      <c r="F25" s="223"/>
      <c r="G25" s="223"/>
      <c r="H25" s="223"/>
      <c r="I25" s="223"/>
      <c r="J25" s="224"/>
    </row>
    <row r="26" spans="1:10" x14ac:dyDescent="0.25">
      <c r="B26" s="207"/>
      <c r="C26" s="208"/>
      <c r="D26" s="208"/>
      <c r="E26" s="208"/>
      <c r="F26" s="208"/>
      <c r="G26" s="208"/>
      <c r="H26" s="208"/>
      <c r="I26" s="208"/>
      <c r="J26" s="209"/>
    </row>
    <row r="27" spans="1:10" x14ac:dyDescent="0.25">
      <c r="A27" s="237"/>
      <c r="B27" s="207"/>
      <c r="C27" s="208"/>
      <c r="D27" s="208"/>
      <c r="E27" s="208"/>
      <c r="F27" s="208"/>
      <c r="G27" s="208"/>
      <c r="H27" s="208"/>
      <c r="I27" s="208"/>
      <c r="J27" s="209"/>
    </row>
    <row r="28" spans="1:10" x14ac:dyDescent="0.25">
      <c r="A28" s="237"/>
      <c r="B28" s="207"/>
      <c r="C28" s="208"/>
      <c r="D28" s="208"/>
      <c r="E28" s="208"/>
      <c r="F28" s="208"/>
      <c r="G28" s="208"/>
      <c r="H28" s="208"/>
      <c r="I28" s="208"/>
      <c r="J28" s="209"/>
    </row>
    <row r="29" spans="1:10" ht="15.75" thickBot="1" x14ac:dyDescent="0.3">
      <c r="B29" s="207"/>
      <c r="C29" s="208"/>
      <c r="D29" s="208"/>
      <c r="E29" s="208"/>
      <c r="F29" s="208"/>
      <c r="G29" s="208"/>
      <c r="H29" s="208"/>
      <c r="I29" s="208"/>
      <c r="J29" s="209"/>
    </row>
    <row r="30" spans="1:10" ht="15" customHeight="1" x14ac:dyDescent="0.25">
      <c r="A30" s="93"/>
      <c r="B30" s="154" t="s">
        <v>56</v>
      </c>
      <c r="C30" s="155"/>
      <c r="D30" s="155"/>
      <c r="E30" s="155"/>
      <c r="F30" s="155"/>
      <c r="G30" s="155"/>
      <c r="H30" s="156"/>
      <c r="I30" s="69" t="s">
        <v>28</v>
      </c>
      <c r="J30" s="70" t="s">
        <v>103</v>
      </c>
    </row>
    <row r="31" spans="1:10" ht="15" customHeight="1" thickBot="1" x14ac:dyDescent="0.3">
      <c r="A31" s="93"/>
      <c r="B31" s="157"/>
      <c r="C31" s="158"/>
      <c r="D31" s="158"/>
      <c r="E31" s="158"/>
      <c r="F31" s="158"/>
      <c r="G31" s="158"/>
      <c r="H31" s="159"/>
      <c r="I31" s="16" t="str">
        <f>IF(J33&lt;20,"―",(10*(SUM(J35*4,J36*3,J37*2,J38)/SUM(3*J41,4*J42))))</f>
        <v>―</v>
      </c>
      <c r="J31" s="14" t="str">
        <f>IF($I$13="―","Not Rated",VLOOKUP($I31,P3:V8,7,TRUE))</f>
        <v>Not Rated</v>
      </c>
    </row>
    <row r="32" spans="1:10" ht="15" customHeight="1" x14ac:dyDescent="0.25">
      <c r="B32" s="106"/>
      <c r="C32" s="107"/>
      <c r="D32" s="107"/>
      <c r="E32" s="107"/>
      <c r="F32" s="108" t="s">
        <v>106</v>
      </c>
      <c r="G32" s="55" t="str">
        <f>IF(J33&lt;20,"―",SUM(I35:I39)/SUM(I35:I40))</f>
        <v>―</v>
      </c>
      <c r="H32" s="33" t="s">
        <v>107</v>
      </c>
      <c r="I32" s="33" t="s">
        <v>108</v>
      </c>
      <c r="J32" s="34" t="s">
        <v>10</v>
      </c>
    </row>
    <row r="33" spans="2:10" ht="15" customHeight="1" x14ac:dyDescent="0.25">
      <c r="B33" s="17"/>
      <c r="C33" s="7"/>
      <c r="D33" s="7"/>
      <c r="E33" s="7"/>
      <c r="F33" s="7"/>
      <c r="G33" s="8" t="s">
        <v>9</v>
      </c>
      <c r="H33" s="22">
        <f>SUM(H41:H42)</f>
        <v>0</v>
      </c>
      <c r="I33" s="22">
        <f>SUM(I41:I42)</f>
        <v>0</v>
      </c>
      <c r="J33" s="25">
        <f>SUM(J41:J42)</f>
        <v>0</v>
      </c>
    </row>
    <row r="34" spans="2:10" ht="15" customHeight="1" x14ac:dyDescent="0.25">
      <c r="B34" s="17"/>
      <c r="C34" s="7"/>
      <c r="D34" s="7"/>
      <c r="E34" s="7"/>
      <c r="F34" s="7"/>
      <c r="G34" s="8" t="s">
        <v>95</v>
      </c>
      <c r="H34" s="23" t="str">
        <f>IF(H33&lt;20,"―",SUM(H35:H37)/H33)</f>
        <v>―</v>
      </c>
      <c r="I34" s="23" t="str">
        <f>IF(I33&lt;20,"―",SUM(I35:I37)/I33)</f>
        <v>―</v>
      </c>
      <c r="J34" s="26" t="str">
        <f>IF(J33&lt;20,"―",SUM(J35:J37)/J33)</f>
        <v>―</v>
      </c>
    </row>
    <row r="35" spans="2:10" x14ac:dyDescent="0.25">
      <c r="B35" s="17"/>
      <c r="C35" s="7"/>
      <c r="D35" s="7"/>
      <c r="E35" s="7"/>
      <c r="F35" s="7"/>
      <c r="G35" s="9" t="s">
        <v>102</v>
      </c>
      <c r="H35" s="56"/>
      <c r="I35" s="1"/>
      <c r="J35" s="25">
        <f t="shared" ref="J35:J36" si="3">SUM(H35:I35)</f>
        <v>0</v>
      </c>
    </row>
    <row r="36" spans="2:10" x14ac:dyDescent="0.25">
      <c r="B36" s="17"/>
      <c r="C36" s="7"/>
      <c r="D36" s="7"/>
      <c r="E36" s="7"/>
      <c r="F36" s="7"/>
      <c r="G36" s="9" t="s">
        <v>96</v>
      </c>
      <c r="H36" s="4"/>
      <c r="I36" s="2"/>
      <c r="J36" s="25">
        <f t="shared" si="3"/>
        <v>0</v>
      </c>
    </row>
    <row r="37" spans="2:10" x14ac:dyDescent="0.25">
      <c r="B37" s="17"/>
      <c r="C37" s="7"/>
      <c r="D37" s="7"/>
      <c r="E37" s="7"/>
      <c r="F37" s="7"/>
      <c r="G37" s="9" t="s">
        <v>97</v>
      </c>
      <c r="H37" s="4"/>
      <c r="I37" s="2"/>
      <c r="J37" s="25">
        <f t="shared" ref="J37" si="4">SUM(H37:I37)</f>
        <v>0</v>
      </c>
    </row>
    <row r="38" spans="2:10" ht="15" customHeight="1" x14ac:dyDescent="0.25">
      <c r="B38" s="17"/>
      <c r="C38" s="7"/>
      <c r="D38" s="7"/>
      <c r="E38" s="7"/>
      <c r="F38" s="7"/>
      <c r="G38" s="9" t="s">
        <v>98</v>
      </c>
      <c r="H38" s="4"/>
      <c r="I38" s="2"/>
      <c r="J38" s="25">
        <f t="shared" ref="J38:J42" si="5">SUM(H38:I38)</f>
        <v>0</v>
      </c>
    </row>
    <row r="39" spans="2:10" ht="15" customHeight="1" x14ac:dyDescent="0.25">
      <c r="B39" s="17"/>
      <c r="C39" s="7"/>
      <c r="D39" s="7"/>
      <c r="E39" s="7"/>
      <c r="F39" s="7"/>
      <c r="G39" s="9" t="s">
        <v>99</v>
      </c>
      <c r="H39" s="4"/>
      <c r="I39" s="2"/>
      <c r="J39" s="25">
        <f t="shared" si="5"/>
        <v>0</v>
      </c>
    </row>
    <row r="40" spans="2:10" ht="15.75" customHeight="1" x14ac:dyDescent="0.25">
      <c r="B40" s="17"/>
      <c r="C40" s="7"/>
      <c r="D40" s="7"/>
      <c r="E40" s="7"/>
      <c r="F40" s="7"/>
      <c r="G40" s="9" t="s">
        <v>5</v>
      </c>
      <c r="H40" s="94"/>
      <c r="I40" s="21"/>
      <c r="J40" s="25">
        <f t="shared" si="5"/>
        <v>0</v>
      </c>
    </row>
    <row r="41" spans="2:10" ht="15.75" customHeight="1" x14ac:dyDescent="0.25">
      <c r="B41" s="17"/>
      <c r="C41" s="7"/>
      <c r="D41" s="7"/>
      <c r="E41" s="7"/>
      <c r="F41" s="7"/>
      <c r="G41" s="9" t="s">
        <v>100</v>
      </c>
      <c r="H41" s="94"/>
      <c r="I41" s="21"/>
      <c r="J41" s="35">
        <f t="shared" si="5"/>
        <v>0</v>
      </c>
    </row>
    <row r="42" spans="2:10" ht="15.75" customHeight="1" x14ac:dyDescent="0.25">
      <c r="B42" s="17"/>
      <c r="C42" s="7"/>
      <c r="D42" s="7"/>
      <c r="E42" s="7"/>
      <c r="F42" s="7"/>
      <c r="G42" s="11" t="s">
        <v>101</v>
      </c>
      <c r="H42" s="22">
        <f>SUM(H35:H40)-H41</f>
        <v>0</v>
      </c>
      <c r="I42" s="22">
        <f>SUM(I35:I40)-I41</f>
        <v>0</v>
      </c>
      <c r="J42" s="25">
        <f t="shared" si="5"/>
        <v>0</v>
      </c>
    </row>
    <row r="43" spans="2:10" ht="15" customHeight="1" x14ac:dyDescent="0.25">
      <c r="B43" s="222" t="s">
        <v>109</v>
      </c>
      <c r="C43" s="223"/>
      <c r="D43" s="223"/>
      <c r="E43" s="223"/>
      <c r="F43" s="223"/>
      <c r="G43" s="223"/>
      <c r="H43" s="223"/>
      <c r="I43" s="223"/>
      <c r="J43" s="224"/>
    </row>
    <row r="44" spans="2:10" x14ac:dyDescent="0.25">
      <c r="B44" s="207"/>
      <c r="C44" s="208"/>
      <c r="D44" s="208"/>
      <c r="E44" s="208"/>
      <c r="F44" s="208"/>
      <c r="G44" s="208"/>
      <c r="H44" s="208"/>
      <c r="I44" s="208"/>
      <c r="J44" s="209"/>
    </row>
    <row r="45" spans="2:10" ht="15.75" thickBot="1" x14ac:dyDescent="0.3">
      <c r="B45" s="210"/>
      <c r="C45" s="211"/>
      <c r="D45" s="211"/>
      <c r="E45" s="211"/>
      <c r="F45" s="211"/>
      <c r="G45" s="211"/>
      <c r="H45" s="211"/>
      <c r="I45" s="211"/>
      <c r="J45" s="212"/>
    </row>
    <row r="46" spans="2:10" ht="15" customHeight="1" x14ac:dyDescent="0.25">
      <c r="B46" s="154" t="s">
        <v>110</v>
      </c>
      <c r="C46" s="155"/>
      <c r="D46" s="155"/>
      <c r="E46" s="155"/>
      <c r="F46" s="155"/>
      <c r="G46" s="155"/>
      <c r="H46" s="156"/>
      <c r="I46" s="71" t="s">
        <v>28</v>
      </c>
      <c r="J46" s="70" t="s">
        <v>103</v>
      </c>
    </row>
    <row r="47" spans="2:10" ht="15.75" customHeight="1" thickBot="1" x14ac:dyDescent="0.3">
      <c r="B47" s="157"/>
      <c r="C47" s="158"/>
      <c r="D47" s="158"/>
      <c r="E47" s="158"/>
      <c r="F47" s="158"/>
      <c r="G47" s="158"/>
      <c r="H47" s="159"/>
      <c r="I47" s="12" t="str">
        <f>IF(H50&lt;20,"―",MAX(19*((H48-0.5)/0.5),0))</f>
        <v>―</v>
      </c>
      <c r="J47" s="14" t="str">
        <f>IF(I47="―","Not Rated",VLOOKUP(I47,Q3:V8,6,TRUE))</f>
        <v>Not Rated</v>
      </c>
    </row>
    <row r="48" spans="2:10" x14ac:dyDescent="0.25">
      <c r="B48" s="59"/>
      <c r="C48" s="60"/>
      <c r="D48" s="60"/>
      <c r="E48" s="60"/>
      <c r="F48" s="60"/>
      <c r="G48" s="61" t="s">
        <v>111</v>
      </c>
      <c r="H48" s="96" t="str">
        <f>IF(H50=0,"―",H49/H50)</f>
        <v>―</v>
      </c>
      <c r="I48" s="225" t="s">
        <v>113</v>
      </c>
      <c r="J48" s="226"/>
    </row>
    <row r="49" spans="2:10" x14ac:dyDescent="0.25">
      <c r="B49" s="17"/>
      <c r="C49" s="7"/>
      <c r="D49" s="7"/>
      <c r="E49" s="7"/>
      <c r="F49" s="7"/>
      <c r="G49" s="57" t="s">
        <v>112</v>
      </c>
      <c r="H49" s="58"/>
      <c r="I49" s="227"/>
      <c r="J49" s="228"/>
    </row>
    <row r="50" spans="2:10" ht="15.75" thickBot="1" x14ac:dyDescent="0.3">
      <c r="B50" s="17"/>
      <c r="C50" s="7"/>
      <c r="D50" s="7"/>
      <c r="E50" s="7"/>
      <c r="F50" s="7"/>
      <c r="G50" s="57" t="s">
        <v>114</v>
      </c>
      <c r="H50" s="67"/>
      <c r="I50" s="229"/>
      <c r="J50" s="230"/>
    </row>
    <row r="51" spans="2:10" ht="15" customHeight="1" x14ac:dyDescent="0.25">
      <c r="B51" s="154" t="s">
        <v>117</v>
      </c>
      <c r="C51" s="155"/>
      <c r="D51" s="155"/>
      <c r="E51" s="155"/>
      <c r="F51" s="155"/>
      <c r="G51" s="155"/>
      <c r="H51" s="156"/>
      <c r="I51" s="71" t="s">
        <v>28</v>
      </c>
      <c r="J51" s="70" t="s">
        <v>103</v>
      </c>
    </row>
    <row r="52" spans="2:10" ht="15.75" customHeight="1" thickBot="1" x14ac:dyDescent="0.3">
      <c r="B52" s="157"/>
      <c r="C52" s="158"/>
      <c r="D52" s="158"/>
      <c r="E52" s="158"/>
      <c r="F52" s="158"/>
      <c r="G52" s="158"/>
      <c r="H52" s="159"/>
      <c r="I52" s="12" t="str">
        <f>IF(OR(H50&lt;20,ISBLANK(J54)),"―",MAX(19*(J54/H50),0))</f>
        <v>―</v>
      </c>
      <c r="J52" s="14" t="str">
        <f>IF(I52="―","Not Rated",VLOOKUP(I52,R$3:$V$8,5,TRUE))</f>
        <v>Not Rated</v>
      </c>
    </row>
    <row r="53" spans="2:10" ht="15.75" customHeight="1" x14ac:dyDescent="0.25">
      <c r="B53" s="231" t="s">
        <v>124</v>
      </c>
      <c r="C53" s="185"/>
      <c r="D53" s="185"/>
      <c r="E53" s="185"/>
      <c r="F53" s="185"/>
      <c r="G53" s="185"/>
      <c r="H53" s="185"/>
      <c r="I53" s="185" t="s">
        <v>131</v>
      </c>
      <c r="J53" s="186"/>
    </row>
    <row r="54" spans="2:10" ht="15.75" customHeight="1" x14ac:dyDescent="0.25">
      <c r="B54" s="101"/>
      <c r="C54" s="99"/>
      <c r="D54" s="99"/>
      <c r="E54" s="99"/>
      <c r="F54" s="99"/>
      <c r="G54" s="100" t="s">
        <v>119</v>
      </c>
      <c r="H54" s="102"/>
      <c r="I54" s="188" t="s">
        <v>135</v>
      </c>
      <c r="J54" s="120"/>
    </row>
    <row r="55" spans="2:10" ht="15.75" customHeight="1" x14ac:dyDescent="0.25">
      <c r="B55" s="17"/>
      <c r="C55" s="7"/>
      <c r="D55" s="7"/>
      <c r="E55" s="7"/>
      <c r="F55" s="7"/>
      <c r="G55" s="24" t="s">
        <v>118</v>
      </c>
      <c r="H55" s="103"/>
      <c r="I55" s="189"/>
      <c r="J55" s="121" t="str">
        <f>IF(ISBLANK(H50),"―",J54/$H$50)</f>
        <v>―</v>
      </c>
    </row>
    <row r="56" spans="2:10" ht="15.75" customHeight="1" x14ac:dyDescent="0.25">
      <c r="B56" s="17"/>
      <c r="C56" s="7"/>
      <c r="D56" s="7"/>
      <c r="E56" s="7"/>
      <c r="F56" s="7"/>
      <c r="G56" s="24" t="s">
        <v>122</v>
      </c>
      <c r="H56" s="103"/>
      <c r="I56" s="188" t="s">
        <v>134</v>
      </c>
      <c r="J56" s="122"/>
    </row>
    <row r="57" spans="2:10" ht="15.75" customHeight="1" x14ac:dyDescent="0.25">
      <c r="B57" s="17"/>
      <c r="C57" s="7"/>
      <c r="D57" s="7"/>
      <c r="E57" s="7"/>
      <c r="F57" s="7"/>
      <c r="G57" s="24" t="s">
        <v>121</v>
      </c>
      <c r="H57" s="103"/>
      <c r="I57" s="189"/>
      <c r="J57" s="121" t="str">
        <f>IF(ISBLANK(H50),"―",J56/$H$50)</f>
        <v>―</v>
      </c>
    </row>
    <row r="58" spans="2:10" ht="15.75" customHeight="1" x14ac:dyDescent="0.25">
      <c r="B58" s="17"/>
      <c r="C58" s="7"/>
      <c r="D58" s="7"/>
      <c r="E58" s="7"/>
      <c r="F58" s="7"/>
      <c r="G58" s="24" t="s">
        <v>123</v>
      </c>
      <c r="H58" s="103"/>
      <c r="I58" s="188" t="s">
        <v>133</v>
      </c>
      <c r="J58" s="122"/>
    </row>
    <row r="59" spans="2:10" ht="15.75" customHeight="1" x14ac:dyDescent="0.25">
      <c r="B59" s="41"/>
      <c r="C59" s="10"/>
      <c r="D59" s="10"/>
      <c r="E59" s="10"/>
      <c r="F59" s="10"/>
      <c r="G59" s="37" t="s">
        <v>120</v>
      </c>
      <c r="H59" s="104"/>
      <c r="I59" s="189"/>
      <c r="J59" s="121" t="str">
        <f>IF(ISBLANK(H50),"―",J58/$H$50)</f>
        <v>―</v>
      </c>
    </row>
    <row r="60" spans="2:10" ht="15.75" customHeight="1" x14ac:dyDescent="0.25">
      <c r="B60" s="232" t="s">
        <v>130</v>
      </c>
      <c r="C60" s="233"/>
      <c r="D60" s="233"/>
      <c r="E60" s="233"/>
      <c r="F60" s="233"/>
      <c r="G60" s="233"/>
      <c r="H60" s="234"/>
      <c r="I60" s="188" t="s">
        <v>132</v>
      </c>
      <c r="J60" s="123"/>
    </row>
    <row r="61" spans="2:10" ht="15.75" customHeight="1" x14ac:dyDescent="0.25">
      <c r="B61" s="17"/>
      <c r="C61" s="7"/>
      <c r="D61" s="7"/>
      <c r="E61" s="7"/>
      <c r="F61" s="7"/>
      <c r="G61" s="24" t="s">
        <v>125</v>
      </c>
      <c r="H61" s="102"/>
      <c r="I61" s="189"/>
      <c r="J61" s="121" t="str">
        <f>IF(ISBLANK(H50),"―",J60/$H$50)</f>
        <v>―</v>
      </c>
    </row>
    <row r="62" spans="2:10" ht="15.75" customHeight="1" x14ac:dyDescent="0.25">
      <c r="B62" s="17"/>
      <c r="C62" s="7"/>
      <c r="D62" s="7"/>
      <c r="E62" s="7"/>
      <c r="F62" s="7"/>
      <c r="G62" s="24" t="s">
        <v>126</v>
      </c>
      <c r="H62" s="103"/>
      <c r="I62" s="187" t="s">
        <v>136</v>
      </c>
      <c r="J62" s="169"/>
    </row>
    <row r="63" spans="2:10" ht="15.75" customHeight="1" x14ac:dyDescent="0.25">
      <c r="B63" s="17"/>
      <c r="C63" s="7"/>
      <c r="D63" s="7"/>
      <c r="E63" s="7"/>
      <c r="F63" s="7"/>
      <c r="G63" s="24" t="s">
        <v>127</v>
      </c>
      <c r="H63" s="103"/>
      <c r="I63" s="187"/>
      <c r="J63" s="169"/>
    </row>
    <row r="64" spans="2:10" ht="15.75" customHeight="1" x14ac:dyDescent="0.25">
      <c r="B64" s="17"/>
      <c r="C64" s="7"/>
      <c r="D64" s="7"/>
      <c r="E64" s="7"/>
      <c r="F64" s="7"/>
      <c r="G64" s="24" t="s">
        <v>128</v>
      </c>
      <c r="H64" s="103"/>
      <c r="I64" s="187"/>
      <c r="J64" s="169"/>
    </row>
    <row r="65" spans="2:10" ht="15.75" customHeight="1" thickBot="1" x14ac:dyDescent="0.3">
      <c r="B65" s="64"/>
      <c r="C65" s="65"/>
      <c r="D65" s="65"/>
      <c r="E65" s="65"/>
      <c r="F65" s="65"/>
      <c r="G65" s="98" t="s">
        <v>129</v>
      </c>
      <c r="H65" s="105"/>
      <c r="I65" s="162"/>
      <c r="J65" s="163"/>
    </row>
    <row r="66" spans="2:10" ht="15.75" customHeight="1" x14ac:dyDescent="0.25">
      <c r="B66" s="154" t="s">
        <v>142</v>
      </c>
      <c r="C66" s="155"/>
      <c r="D66" s="155"/>
      <c r="E66" s="155"/>
      <c r="F66" s="155"/>
      <c r="G66" s="155"/>
      <c r="H66" s="156"/>
      <c r="I66" s="71" t="s">
        <v>28</v>
      </c>
      <c r="J66" s="70" t="s">
        <v>103</v>
      </c>
    </row>
    <row r="67" spans="2:10" ht="15.75" customHeight="1" thickBot="1" x14ac:dyDescent="0.3">
      <c r="B67" s="157"/>
      <c r="C67" s="158"/>
      <c r="D67" s="158"/>
      <c r="E67" s="158"/>
      <c r="F67" s="158"/>
      <c r="G67" s="158"/>
      <c r="H67" s="159"/>
      <c r="I67" s="12" t="str">
        <f>IF(F68&lt;20,"―",MAX(12*((J68-0.5)/0.5),0))</f>
        <v>―</v>
      </c>
      <c r="J67" s="14" t="str">
        <f>IF(I67="―","Not Rated",VLOOKUP(I67,$S$3:$V$8,4,TRUE))</f>
        <v>Not Rated</v>
      </c>
    </row>
    <row r="68" spans="2:10" ht="15.75" customHeight="1" x14ac:dyDescent="0.25">
      <c r="B68" s="118"/>
      <c r="C68" s="116"/>
      <c r="D68" s="116"/>
      <c r="E68" s="117" t="s">
        <v>147</v>
      </c>
      <c r="F68" s="238">
        <f>SUM(F71+J74)</f>
        <v>0</v>
      </c>
      <c r="G68" s="239"/>
      <c r="H68" s="116"/>
      <c r="I68" s="117" t="s">
        <v>146</v>
      </c>
      <c r="J68" s="119" t="str">
        <f>IF(ISERROR(SUM(F70,J73)/F68),"―",SUM(F70,J73)/F68)</f>
        <v>―</v>
      </c>
    </row>
    <row r="69" spans="2:10" ht="15.75" customHeight="1" x14ac:dyDescent="0.25">
      <c r="B69" s="192" t="s">
        <v>140</v>
      </c>
      <c r="C69" s="193"/>
      <c r="D69" s="193"/>
      <c r="E69" s="193"/>
      <c r="F69" s="193"/>
      <c r="G69" s="194"/>
      <c r="H69" s="195" t="s">
        <v>141</v>
      </c>
      <c r="I69" s="196"/>
      <c r="J69" s="197"/>
    </row>
    <row r="70" spans="2:10" ht="15.75" customHeight="1" x14ac:dyDescent="0.25">
      <c r="B70" s="109"/>
      <c r="C70" s="15"/>
      <c r="D70" s="15"/>
      <c r="E70" s="24" t="s">
        <v>137</v>
      </c>
      <c r="F70" s="235"/>
      <c r="G70" s="236"/>
      <c r="H70" s="111"/>
      <c r="I70" s="24" t="s">
        <v>138</v>
      </c>
      <c r="J70" s="114"/>
    </row>
    <row r="71" spans="2:10" ht="15.75" customHeight="1" x14ac:dyDescent="0.25">
      <c r="B71" s="113"/>
      <c r="C71" s="110"/>
      <c r="D71" s="110"/>
      <c r="E71" s="37" t="s">
        <v>150</v>
      </c>
      <c r="F71" s="190"/>
      <c r="G71" s="191"/>
      <c r="H71" s="112"/>
      <c r="I71" s="37" t="s">
        <v>151</v>
      </c>
      <c r="J71" s="115"/>
    </row>
    <row r="72" spans="2:10" ht="15.75" customHeight="1" x14ac:dyDescent="0.25">
      <c r="B72" s="198" t="s">
        <v>143</v>
      </c>
      <c r="C72" s="199"/>
      <c r="D72" s="199"/>
      <c r="E72" s="199"/>
      <c r="F72" s="199"/>
      <c r="G72" s="200"/>
      <c r="H72" s="201" t="s">
        <v>144</v>
      </c>
      <c r="I72" s="202"/>
      <c r="J72" s="203"/>
    </row>
    <row r="73" spans="2:10" ht="15.75" customHeight="1" x14ac:dyDescent="0.25">
      <c r="B73" s="109"/>
      <c r="C73" s="15"/>
      <c r="D73" s="15"/>
      <c r="E73" s="24" t="s">
        <v>139</v>
      </c>
      <c r="F73" s="181"/>
      <c r="G73" s="182"/>
      <c r="H73" s="111"/>
      <c r="I73" s="24" t="s">
        <v>145</v>
      </c>
      <c r="J73" s="126"/>
    </row>
    <row r="74" spans="2:10" ht="15.75" customHeight="1" x14ac:dyDescent="0.25">
      <c r="B74" s="113"/>
      <c r="C74" s="110"/>
      <c r="D74" s="110"/>
      <c r="E74" s="37" t="s">
        <v>153</v>
      </c>
      <c r="F74" s="183"/>
      <c r="G74" s="184"/>
      <c r="H74" s="112"/>
      <c r="I74" s="37" t="s">
        <v>152</v>
      </c>
      <c r="J74" s="127"/>
    </row>
    <row r="75" spans="2:10" ht="15" customHeight="1" x14ac:dyDescent="0.25">
      <c r="B75" s="175" t="s">
        <v>148</v>
      </c>
      <c r="C75" s="176"/>
      <c r="D75" s="176"/>
      <c r="E75" s="176"/>
      <c r="F75" s="176"/>
      <c r="G75" s="176"/>
      <c r="H75" s="176"/>
      <c r="I75" s="176"/>
      <c r="J75" s="161"/>
    </row>
    <row r="76" spans="2:10" ht="15" customHeight="1" x14ac:dyDescent="0.25">
      <c r="B76" s="167"/>
      <c r="C76" s="177"/>
      <c r="D76" s="177"/>
      <c r="E76" s="177"/>
      <c r="F76" s="177"/>
      <c r="G76" s="177"/>
      <c r="H76" s="177"/>
      <c r="I76" s="177"/>
      <c r="J76" s="169"/>
    </row>
    <row r="77" spans="2:10" ht="15" customHeight="1" x14ac:dyDescent="0.25">
      <c r="B77" s="167"/>
      <c r="C77" s="177"/>
      <c r="D77" s="177"/>
      <c r="E77" s="177"/>
      <c r="F77" s="177"/>
      <c r="G77" s="177"/>
      <c r="H77" s="177"/>
      <c r="I77" s="177"/>
      <c r="J77" s="169"/>
    </row>
    <row r="78" spans="2:10" ht="15.75" customHeight="1" thickBot="1" x14ac:dyDescent="0.3">
      <c r="B78" s="170"/>
      <c r="C78" s="171"/>
      <c r="D78" s="171"/>
      <c r="E78" s="171"/>
      <c r="F78" s="171"/>
      <c r="G78" s="171"/>
      <c r="H78" s="171"/>
      <c r="I78" s="171"/>
      <c r="J78" s="163"/>
    </row>
    <row r="79" spans="2:10" x14ac:dyDescent="0.25">
      <c r="B79" s="154" t="s">
        <v>61</v>
      </c>
      <c r="C79" s="155"/>
      <c r="D79" s="155"/>
      <c r="E79" s="155"/>
      <c r="F79" s="155"/>
      <c r="G79" s="155"/>
      <c r="H79" s="156"/>
      <c r="I79" s="71" t="s">
        <v>28</v>
      </c>
      <c r="J79" s="70" t="s">
        <v>103</v>
      </c>
    </row>
    <row r="80" spans="2:10" ht="15" customHeight="1" thickBot="1" x14ac:dyDescent="0.3">
      <c r="B80" s="157"/>
      <c r="C80" s="158"/>
      <c r="D80" s="158"/>
      <c r="E80" s="158"/>
      <c r="F80" s="158"/>
      <c r="G80" s="158"/>
      <c r="H80" s="159"/>
      <c r="I80" s="12" t="str">
        <f>IF(H82&lt;20,"―",J81*10)</f>
        <v>―</v>
      </c>
      <c r="J80" s="14" t="str">
        <f>IF(I80="―","Not Rated",VLOOKUP(I80,T3:V8,3,TRUE))</f>
        <v>Not Rated</v>
      </c>
    </row>
    <row r="81" spans="2:10" x14ac:dyDescent="0.25">
      <c r="B81" s="59"/>
      <c r="C81" s="60"/>
      <c r="D81" s="60"/>
      <c r="E81" s="60"/>
      <c r="F81" s="60"/>
      <c r="G81" s="95" t="s">
        <v>81</v>
      </c>
      <c r="H81" s="58"/>
      <c r="I81" s="62" t="s">
        <v>63</v>
      </c>
      <c r="J81" s="63" t="str">
        <f>IF(H82=0,"―",H81/H82)</f>
        <v>―</v>
      </c>
    </row>
    <row r="82" spans="2:10" ht="15" customHeight="1" x14ac:dyDescent="0.25">
      <c r="B82" s="17"/>
      <c r="C82" s="7"/>
      <c r="D82" s="7"/>
      <c r="E82" s="7"/>
      <c r="F82" s="7"/>
      <c r="G82" s="57" t="s">
        <v>116</v>
      </c>
      <c r="H82" s="28"/>
      <c r="I82" s="160" t="s">
        <v>115</v>
      </c>
      <c r="J82" s="161"/>
    </row>
    <row r="83" spans="2:10" ht="15.75" customHeight="1" thickBot="1" x14ac:dyDescent="0.3">
      <c r="B83" s="64"/>
      <c r="C83" s="65"/>
      <c r="D83" s="65"/>
      <c r="E83" s="65"/>
      <c r="F83" s="65"/>
      <c r="G83" s="66" t="s">
        <v>62</v>
      </c>
      <c r="H83" s="67"/>
      <c r="I83" s="162"/>
      <c r="J83" s="163"/>
    </row>
    <row r="84" spans="2:10" x14ac:dyDescent="0.25">
      <c r="B84" s="154" t="s">
        <v>64</v>
      </c>
      <c r="C84" s="155"/>
      <c r="D84" s="155"/>
      <c r="E84" s="155"/>
      <c r="F84" s="155"/>
      <c r="G84" s="155"/>
      <c r="H84" s="156"/>
      <c r="I84" s="71" t="s">
        <v>28</v>
      </c>
      <c r="J84" s="70" t="s">
        <v>103</v>
      </c>
    </row>
    <row r="85" spans="2:10" ht="15.75" thickBot="1" x14ac:dyDescent="0.3">
      <c r="B85" s="157"/>
      <c r="C85" s="158"/>
      <c r="D85" s="158"/>
      <c r="E85" s="158"/>
      <c r="F85" s="158"/>
      <c r="G85" s="158"/>
      <c r="H85" s="159"/>
      <c r="I85" s="68"/>
      <c r="J85" s="14" t="str">
        <f>IF(ISBLANK($I$85),"Not Rated",VLOOKUP(I85,U$3:$V$8,2,TRUE))</f>
        <v>Not Rated</v>
      </c>
    </row>
    <row r="86" spans="2:10" x14ac:dyDescent="0.25">
      <c r="B86" s="204" t="s">
        <v>78</v>
      </c>
      <c r="C86" s="205"/>
      <c r="D86" s="205"/>
      <c r="E86" s="205"/>
      <c r="F86" s="205"/>
      <c r="G86" s="205"/>
      <c r="H86" s="205"/>
      <c r="I86" s="205"/>
      <c r="J86" s="206"/>
    </row>
    <row r="87" spans="2:10" x14ac:dyDescent="0.25">
      <c r="B87" s="207"/>
      <c r="C87" s="208"/>
      <c r="D87" s="208"/>
      <c r="E87" s="208"/>
      <c r="F87" s="208"/>
      <c r="G87" s="208"/>
      <c r="H87" s="208"/>
      <c r="I87" s="208"/>
      <c r="J87" s="209"/>
    </row>
    <row r="88" spans="2:10" x14ac:dyDescent="0.25">
      <c r="B88" s="207"/>
      <c r="C88" s="208"/>
      <c r="D88" s="208"/>
      <c r="E88" s="208"/>
      <c r="F88" s="208"/>
      <c r="G88" s="208"/>
      <c r="H88" s="208"/>
      <c r="I88" s="208"/>
      <c r="J88" s="209"/>
    </row>
    <row r="89" spans="2:10" ht="15.75" thickBot="1" x14ac:dyDescent="0.3">
      <c r="B89" s="210"/>
      <c r="C89" s="211"/>
      <c r="D89" s="211"/>
      <c r="E89" s="211"/>
      <c r="F89" s="211"/>
      <c r="G89" s="211"/>
      <c r="H89" s="211"/>
      <c r="I89" s="211"/>
      <c r="J89" s="212"/>
    </row>
    <row r="92" spans="2:10" x14ac:dyDescent="0.25">
      <c r="E92" s="97"/>
    </row>
    <row r="93" spans="2:10" x14ac:dyDescent="0.25">
      <c r="E93" s="97"/>
    </row>
    <row r="95" spans="2:10" x14ac:dyDescent="0.25">
      <c r="H95" s="97"/>
    </row>
    <row r="96" spans="2:10" x14ac:dyDescent="0.25">
      <c r="H96" s="97"/>
    </row>
    <row r="97" spans="8:8" x14ac:dyDescent="0.25">
      <c r="H97" s="97"/>
    </row>
    <row r="98" spans="8:8" x14ac:dyDescent="0.25">
      <c r="H98" s="97"/>
    </row>
    <row r="99" spans="8:8" x14ac:dyDescent="0.25">
      <c r="H99" s="24"/>
    </row>
    <row r="100" spans="8:8" x14ac:dyDescent="0.25">
      <c r="H100" s="97"/>
    </row>
  </sheetData>
  <mergeCells count="35">
    <mergeCell ref="B2:J3"/>
    <mergeCell ref="N2:V2"/>
    <mergeCell ref="B25:J29"/>
    <mergeCell ref="A27:A28"/>
    <mergeCell ref="F68:G68"/>
    <mergeCell ref="H4:H5"/>
    <mergeCell ref="B86:J89"/>
    <mergeCell ref="H6:J11"/>
    <mergeCell ref="B12:H13"/>
    <mergeCell ref="B51:H52"/>
    <mergeCell ref="B79:H80"/>
    <mergeCell ref="I82:J83"/>
    <mergeCell ref="B75:J78"/>
    <mergeCell ref="B43:J45"/>
    <mergeCell ref="B46:H47"/>
    <mergeCell ref="I48:J50"/>
    <mergeCell ref="B84:H85"/>
    <mergeCell ref="B30:H31"/>
    <mergeCell ref="B53:H53"/>
    <mergeCell ref="B60:H60"/>
    <mergeCell ref="B66:H67"/>
    <mergeCell ref="F70:G70"/>
    <mergeCell ref="F73:G73"/>
    <mergeCell ref="F74:G74"/>
    <mergeCell ref="I53:J53"/>
    <mergeCell ref="I62:J65"/>
    <mergeCell ref="I54:I55"/>
    <mergeCell ref="I56:I57"/>
    <mergeCell ref="I58:I59"/>
    <mergeCell ref="I60:I61"/>
    <mergeCell ref="F71:G71"/>
    <mergeCell ref="B69:G69"/>
    <mergeCell ref="H69:J69"/>
    <mergeCell ref="B72:G72"/>
    <mergeCell ref="H72:J72"/>
  </mergeCells>
  <conditionalFormatting sqref="G14">
    <cfRule type="cellIs" dxfId="1" priority="2" operator="lessThan">
      <formula>0.95</formula>
    </cfRule>
  </conditionalFormatting>
  <conditionalFormatting sqref="G32">
    <cfRule type="cellIs" dxfId="0" priority="1" operator="lessThan">
      <formula>0.95</formula>
    </cfRule>
  </conditionalFormatting>
  <dataValidations count="1">
    <dataValidation type="decimal" allowBlank="1" showInputMessage="1" showErrorMessage="1" error="The School Climate Indicator is worth 5 points for High Schools. You have entered an invalid value." sqref="I85" xr:uid="{A56CB07D-EF18-4FF0-846C-B0EFDF43F625}">
      <formula1>0</formula1>
      <formula2>5</formula2>
    </dataValidation>
  </dataValidations>
  <pageMargins left="0.7" right="0.7" top="0.75" bottom="0.75" header="0.3" footer="0.3"/>
  <pageSetup orientation="portrait" r:id="rId1"/>
  <ignoredErrors>
    <ignoredError sqref="H16:I16 H34:I34" formulaRange="1"/>
    <ignoredError sqref="J37 J19"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Elementary &amp; Middle Schools</vt:lpstr>
      <vt:lpstr>High Schools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Lavery, Matthew</dc:creator>
  <cp:lastModifiedBy>Lavery, Matthew</cp:lastModifiedBy>
  <dcterms:created xsi:type="dcterms:W3CDTF">2024-04-10T16:57:58Z</dcterms:created>
  <dcterms:modified xsi:type="dcterms:W3CDTF">2024-08-07T18:13:56Z</dcterms:modified>
</cp:coreProperties>
</file>