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lavery\Dropbox\! Atatchments\"/>
    </mc:Choice>
  </mc:AlternateContent>
  <xr:revisionPtr revIDLastSave="0" documentId="13_ncr:1_{5D77E3CD-1D9D-452B-BCBA-3017699C8A4F}" xr6:coauthVersionLast="47" xr6:coauthVersionMax="47" xr10:uidLastSave="{00000000-0000-0000-0000-000000000000}"/>
  <bookViews>
    <workbookView xWindow="-120" yWindow="-120" windowWidth="29040" windowHeight="15840" xr2:uid="{B802F622-7499-43AC-8303-C529ADDA0FCA}"/>
  </bookViews>
  <sheets>
    <sheet name="Elementary &amp; Middle Schools" sheetId="1"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1" l="1"/>
  <c r="I57" i="1"/>
  <c r="I80" i="2"/>
  <c r="J81" i="2"/>
  <c r="H69" i="1"/>
  <c r="J69" i="1" s="1"/>
  <c r="J70" i="1"/>
  <c r="I69" i="1" l="1"/>
  <c r="H57" i="1" l="1"/>
  <c r="J74" i="1"/>
  <c r="I74" i="1"/>
  <c r="D11" i="2" l="1"/>
  <c r="G11" i="2" s="1"/>
  <c r="D8" i="1" l="1"/>
  <c r="D10" i="2"/>
  <c r="F11" i="2"/>
  <c r="J19" i="1"/>
  <c r="J18" i="1"/>
  <c r="J17" i="1"/>
  <c r="J16" i="1"/>
  <c r="J15" i="1"/>
  <c r="J46" i="1"/>
  <c r="J45" i="1"/>
  <c r="J44" i="1"/>
  <c r="J43" i="1"/>
  <c r="J42" i="1"/>
  <c r="J41" i="1"/>
  <c r="J35" i="1"/>
  <c r="J34" i="1"/>
  <c r="J33" i="1"/>
  <c r="J32" i="1"/>
  <c r="J31" i="1"/>
  <c r="J30" i="1"/>
  <c r="D39" i="1"/>
  <c r="D28" i="1"/>
  <c r="G68" i="2"/>
  <c r="J68" i="2" s="1"/>
  <c r="J61" i="2"/>
  <c r="J59" i="2"/>
  <c r="J57" i="2"/>
  <c r="J55" i="2"/>
  <c r="J85" i="2"/>
  <c r="I52" i="2"/>
  <c r="H48" i="2"/>
  <c r="I47" i="2" s="1"/>
  <c r="D7" i="2" s="1"/>
  <c r="F7" i="2" s="1"/>
  <c r="I42" i="2"/>
  <c r="I33" i="2" s="1"/>
  <c r="I34" i="2" s="1"/>
  <c r="H42" i="2"/>
  <c r="H33" i="2" s="1"/>
  <c r="H34" i="2" s="1"/>
  <c r="J41" i="2"/>
  <c r="J40" i="2"/>
  <c r="J39" i="2"/>
  <c r="J38" i="2"/>
  <c r="J37" i="2"/>
  <c r="J36" i="2"/>
  <c r="J35" i="2"/>
  <c r="H26" i="1" l="1"/>
  <c r="I28" i="1"/>
  <c r="F28" i="1"/>
  <c r="E28" i="1"/>
  <c r="J28" i="1"/>
  <c r="H28" i="1"/>
  <c r="J39" i="1"/>
  <c r="F39" i="1"/>
  <c r="E39" i="1"/>
  <c r="H39" i="1"/>
  <c r="I39" i="1"/>
  <c r="F10" i="2"/>
  <c r="G10" i="2" s="1"/>
  <c r="J52" i="2"/>
  <c r="D8" i="2"/>
  <c r="G7" i="2"/>
  <c r="I67" i="2"/>
  <c r="D9" i="2" s="1"/>
  <c r="J47" i="2"/>
  <c r="J42" i="2"/>
  <c r="J33" i="2" s="1"/>
  <c r="G32" i="2" s="1"/>
  <c r="I24" i="2"/>
  <c r="I15" i="2" s="1"/>
  <c r="I16" i="2" s="1"/>
  <c r="H24" i="2"/>
  <c r="J23" i="2"/>
  <c r="J22" i="2"/>
  <c r="J19" i="2"/>
  <c r="J21" i="2"/>
  <c r="J20" i="2"/>
  <c r="J18" i="2"/>
  <c r="J17" i="2"/>
  <c r="D9" i="1"/>
  <c r="J59" i="1"/>
  <c r="I58" i="1" s="1"/>
  <c r="I13" i="1"/>
  <c r="I14" i="1" s="1"/>
  <c r="H13" i="1"/>
  <c r="H14" i="1" s="1"/>
  <c r="J60" i="1" l="1"/>
  <c r="J26" i="1"/>
  <c r="I26" i="1"/>
  <c r="G9" i="2"/>
  <c r="F9" i="2"/>
  <c r="G8" i="2"/>
  <c r="F8" i="2"/>
  <c r="F9" i="1"/>
  <c r="G9" i="1"/>
  <c r="H15" i="2"/>
  <c r="H16" i="2" s="1"/>
  <c r="J67" i="2"/>
  <c r="J34" i="2"/>
  <c r="I31" i="2"/>
  <c r="D6" i="2" s="1"/>
  <c r="J24" i="2"/>
  <c r="J15" i="2" s="1"/>
  <c r="D7" i="1"/>
  <c r="J13" i="1"/>
  <c r="G6" i="2" l="1"/>
  <c r="F6" i="2"/>
  <c r="G7" i="1"/>
  <c r="F7" i="1"/>
  <c r="G12" i="1"/>
  <c r="H11" i="1" s="1"/>
  <c r="J14" i="1"/>
  <c r="J80" i="2"/>
  <c r="G14" i="2"/>
  <c r="I13" i="2" s="1"/>
  <c r="J16" i="2"/>
  <c r="J11" i="1" l="1"/>
  <c r="I11" i="1"/>
  <c r="J31" i="2"/>
  <c r="D5" i="2"/>
  <c r="F8" i="1"/>
  <c r="G8" i="1"/>
  <c r="D6" i="1"/>
  <c r="J13" i="2"/>
  <c r="D5" i="1"/>
  <c r="J5" i="1" l="1"/>
  <c r="I5" i="1"/>
  <c r="F5" i="2"/>
  <c r="I5" i="2"/>
  <c r="J5" i="2" s="1"/>
  <c r="G5" i="2"/>
  <c r="H5" i="1"/>
  <c r="G5" i="1"/>
  <c r="F6" i="1"/>
  <c r="F5" i="1" s="1"/>
  <c r="G6" i="1"/>
</calcChain>
</file>

<file path=xl/sharedStrings.xml><?xml version="1.0" encoding="utf-8"?>
<sst xmlns="http://schemas.openxmlformats.org/spreadsheetml/2006/main" count="265" uniqueCount="166">
  <si>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</si>
  <si>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</si>
  <si>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</si>
  <si>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</si>
  <si>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</si>
  <si>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</si>
  <si>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</si>
  <si>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</si>
  <si>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</si>
  <si>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</si>
  <si>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</si>
  <si>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</si>
  <si>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</si>
  <si>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</si>
  <si>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</si>
  <si>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</si>
  <si>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</si>
  <si>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</si>
  <si>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</si>
  <si>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</si>
  <si>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</si>
  <si>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</si>
  <si>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</si>
  <si>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</si>
  <si>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</si>
  <si>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</si>
  <si>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</si>
  <si>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</si>
  <si>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</si>
  <si>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</si>
  <si>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</si>
  <si>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</si>
  <si>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</si>
  <si>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</si>
  <si>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</si>
  <si>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</si>
  <si>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</si>
  <si>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</si>
  <si>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</si>
  <si>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</si>
  <si>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</si>
  <si>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</si>
  <si>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</si>
  <si>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</si>
  <si>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</si>
  <si>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</si>
  <si>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</si>
  <si>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</si>
  <si>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</si>
  <si>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</si>
  <si>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t>
  </si>
  <si>
    <t>Multilingual Learners’ Progress</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</si>
  <si>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</si>
  <si>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</si>
  <si>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</si>
  <si>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</si>
  <si>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</si>
  <si>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</si>
  <si>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</si>
  <si>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</si>
  <si>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</si>
  <si>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</si>
  <si>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</si>
  <si>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</si>
  <si>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</si>
  <si>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</si>
  <si>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</si>
  <si>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</si>
  <si>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</si>
  <si>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</si>
  <si>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</si>
  <si>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</si>
  <si>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</si>
  <si>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</si>
  <si>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</si>
  <si>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</si>
  <si>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</si>
  <si>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</si>
  <si>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</si>
  <si>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</si>
  <si>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</si>
  <si>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</si>
  <si>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</si>
  <si>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</si>
  <si>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</si>
  <si>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</si>
  <si>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</si>
  <si>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</si>
  <si>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</si>
  <si>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</si>
  <si>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</si>
  <si>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</si>
  <si>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</si>
  <si>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</si>
  <si>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</si>
  <si>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</si>
  <si>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</si>
  <si>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</si>
  <si>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</si>
  <si>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</si>
  <si>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</si>
  <si>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</si>
  <si>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</si>
  <si>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</si>
  <si>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</si>
  <si>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</si>
  <si>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</si>
  <si>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</si>
  <si>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</si>
  <si>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</si>
  <si>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</si>
  <si>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</si>
  <si>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</si>
  <si>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</si>
  <si>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</si>
  <si>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</si>
  <si>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</si>
  <si>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</si>
  <si>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</si>
  <si>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</si>
  <si>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</si>
  <si>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</si>
  <si>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</si>
  <si>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</si>
  <si>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</si>
  <si>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</si>
  <si>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</si>
  <si>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</si>
  <si>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</si>
  <si>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</si>
  <si>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</si>
  <si>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</si>
  <si>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If you need a fresh copy, you may download it at https://eoc.sc.gov/educators.</t>
    </r>
  </si>
  <si>
    <r>
      <t># students in 1st-year cohort (</t>
    </r>
    <r>
      <rPr>
        <b/>
        <sz val="11"/>
        <color theme="1"/>
        <rFont val="Calibri"/>
        <family val="2"/>
        <scheme val="minor"/>
      </rPr>
      <t>9GR25</t>
    </r>
    <r>
      <rPr>
        <sz val="11"/>
        <color theme="1"/>
        <rFont val="Calibri"/>
        <family val="2"/>
        <scheme val="minor"/>
      </rPr>
      <t>):</t>
    </r>
  </si>
  <si>
    <r>
      <t># students in 2nd-year cohort (</t>
    </r>
    <r>
      <rPr>
        <b/>
        <sz val="11"/>
        <color theme="1"/>
        <rFont val="Calibri"/>
        <family val="2"/>
        <scheme val="minor"/>
      </rPr>
      <t>9GR24</t>
    </r>
    <r>
      <rPr>
        <sz val="11"/>
        <color theme="1"/>
        <rFont val="Calibri"/>
        <family val="2"/>
        <scheme val="minor"/>
      </rPr>
      <t>):</t>
    </r>
  </si>
  <si>
    <r>
      <t># of students in 1st-year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</si>
  <si>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9GR21</t>
    </r>
    <r>
      <rPr>
        <sz val="11"/>
        <color theme="1"/>
        <rFont val="Calibri"/>
        <family val="2"/>
        <scheme val="minor"/>
      </rPr>
      <t>):</t>
    </r>
  </si>
  <si>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t>
    </r>
    <r>
      <rPr>
        <b/>
        <i/>
        <sz val="9"/>
        <color theme="1"/>
        <rFont val="Calibri"/>
        <family val="2"/>
        <scheme val="minor"/>
      </rPr>
      <t>2YOTG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3YOTG</t>
    </r>
    <r>
      <rPr>
        <i/>
        <sz val="9"/>
        <color theme="1"/>
        <rFont val="Calibri"/>
        <family val="2"/>
        <scheme val="minor"/>
      </rPr>
      <t xml:space="preserve"> will be displayed on School Report Cards this year, but will not impact points or ratings.  The </t>
    </r>
    <r>
      <rPr>
        <b/>
        <i/>
        <sz val="9"/>
        <color theme="1"/>
        <rFont val="Calibri"/>
        <family val="2"/>
        <scheme val="minor"/>
      </rPr>
      <t>3YOTG</t>
    </r>
    <r>
      <rPr>
        <i/>
        <sz val="9"/>
        <color theme="1"/>
        <rFont val="Calibri"/>
        <family val="2"/>
        <scheme val="minor"/>
      </rPr>
      <t xml:space="preserve"> area of this simulator is provided for your own use and reference and has been highlighted with a paler yellow color to indicate that the numbers you enter in these cells are not used in any calulations.  Refer to the 2025 Accountability Manual for details on the requirements for students to be considered on-track or having obtained a successful high school outcome.</t>
    </r>
  </si>
  <si>
    <r>
      <t xml:space="preserve">Number of students included in the </t>
    </r>
    <r>
      <rPr>
        <b/>
        <sz val="11"/>
        <color theme="1"/>
        <rFont val="Calibri"/>
        <family val="2"/>
        <scheme val="minor"/>
      </rPr>
      <t>9GR22</t>
    </r>
    <r>
      <rPr>
        <sz val="11"/>
        <color theme="1"/>
        <rFont val="Calibri"/>
        <family val="2"/>
        <scheme val="minor"/>
      </rPr>
      <t xml:space="preserve"> chohort:</t>
    </r>
  </si>
  <si>
    <r>
      <t>Notes:</t>
    </r>
    <r>
      <rPr>
        <i/>
        <sz val="9"/>
        <color theme="1"/>
        <rFont val="Calibri"/>
        <family val="2"/>
        <scheme val="minor"/>
      </rPr>
      <t xml:space="preserve"> Do not include students with a properly documented exclusion in the number projected for Not Tested. Participation rate is estimated, based on the information entered, as the percent of required tests that were taken. Consult the accountability manual for the correct calculation methods.</t>
    </r>
  </si>
  <si>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you may modify it as needed. If you need a fresh copy, you may download it at https://eoc.sc.gov/educators.  Note that any high school which receives the Graduation Rate or the Academic Achievement indicator will receive a report card and an Overall Rating.</t>
    </r>
  </si>
  <si>
    <t>Weighted Points:</t>
  </si>
  <si>
    <t>Wtd. Points:</t>
  </si>
  <si>
    <t>ELA n</t>
  </si>
  <si>
    <t>Math n</t>
  </si>
  <si>
    <t>ELA % ≥ MAT</t>
  </si>
  <si>
    <t>ELA % ≥ AVT</t>
  </si>
  <si>
    <r>
      <t>ELA Target Points (RP</t>
    </r>
    <r>
      <rPr>
        <b/>
        <i/>
        <vertAlign val="subscript"/>
        <sz val="9"/>
        <color theme="1"/>
        <rFont val="Calibri"/>
        <family val="2"/>
        <scheme val="minor"/>
      </rPr>
      <t>T</t>
    </r>
    <r>
      <rPr>
        <b/>
        <i/>
        <sz val="9"/>
        <color theme="1"/>
        <rFont val="Calibri"/>
        <family val="2"/>
        <scheme val="minor"/>
      </rPr>
      <t>)</t>
    </r>
  </si>
  <si>
    <r>
      <t>ELA VAM Points (ISP</t>
    </r>
    <r>
      <rPr>
        <b/>
        <i/>
        <vertAlign val="subscript"/>
        <sz val="9"/>
        <color theme="1"/>
        <rFont val="Calibri"/>
        <family val="2"/>
        <scheme val="minor"/>
      </rPr>
      <t>Sch</t>
    </r>
    <r>
      <rPr>
        <b/>
        <i/>
        <sz val="9"/>
        <color theme="1"/>
        <rFont val="Calibri"/>
        <family val="2"/>
        <scheme val="minor"/>
      </rPr>
      <t>)</t>
    </r>
  </si>
  <si>
    <r>
      <t>ELA Pct. Points (RP</t>
    </r>
    <r>
      <rPr>
        <b/>
        <i/>
        <vertAlign val="subscript"/>
        <sz val="9"/>
        <color theme="1"/>
        <rFont val="Calibri"/>
        <family val="2"/>
        <scheme val="minor"/>
      </rPr>
      <t>P</t>
    </r>
    <r>
      <rPr>
        <b/>
        <i/>
        <sz val="9"/>
        <color theme="1"/>
        <rFont val="Calibri"/>
        <family val="2"/>
        <scheme val="minor"/>
      </rPr>
      <t>)</t>
    </r>
  </si>
  <si>
    <t>Math % ≥ MAT</t>
  </si>
  <si>
    <t>Math % ≥ AVT</t>
  </si>
  <si>
    <r>
      <t>Math Target Points (RP</t>
    </r>
    <r>
      <rPr>
        <b/>
        <i/>
        <vertAlign val="subscript"/>
        <sz val="9"/>
        <color theme="1"/>
        <rFont val="Calibri"/>
        <family val="2"/>
        <scheme val="minor"/>
      </rPr>
      <t>T</t>
    </r>
    <r>
      <rPr>
        <b/>
        <i/>
        <sz val="9"/>
        <color theme="1"/>
        <rFont val="Calibri"/>
        <family val="2"/>
        <scheme val="minor"/>
      </rPr>
      <t>)</t>
    </r>
  </si>
  <si>
    <r>
      <t>Math Pct. Points (RP</t>
    </r>
    <r>
      <rPr>
        <b/>
        <i/>
        <vertAlign val="subscript"/>
        <sz val="9"/>
        <color theme="1"/>
        <rFont val="Calibri"/>
        <family val="2"/>
        <scheme val="minor"/>
      </rPr>
      <t>P</t>
    </r>
    <r>
      <rPr>
        <b/>
        <i/>
        <sz val="9"/>
        <color theme="1"/>
        <rFont val="Calibri"/>
        <family val="2"/>
        <scheme val="minor"/>
      </rPr>
      <t>)</t>
    </r>
  </si>
  <si>
    <r>
      <t>Math VAM Points (ISP</t>
    </r>
    <r>
      <rPr>
        <b/>
        <i/>
        <vertAlign val="subscript"/>
        <sz val="9"/>
        <color theme="1"/>
        <rFont val="Calibri"/>
        <family val="2"/>
        <scheme val="minor"/>
      </rPr>
      <t>Sch</t>
    </r>
    <r>
      <rPr>
        <b/>
        <i/>
        <sz val="9"/>
        <color theme="1"/>
        <rFont val="Calibri"/>
        <family val="2"/>
        <scheme val="minor"/>
      </rPr>
      <t>)</t>
    </r>
  </si>
  <si>
    <r>
      <t xml:space="preserve">Number in </t>
    </r>
    <r>
      <rPr>
        <b/>
        <sz val="11"/>
        <color theme="1"/>
        <rFont val="Calibri"/>
        <family val="2"/>
        <scheme val="minor"/>
      </rPr>
      <t>PAB 5</t>
    </r>
    <r>
      <rPr>
        <sz val="11"/>
        <color theme="1"/>
        <rFont val="Calibri"/>
        <family val="2"/>
        <scheme val="minor"/>
      </rPr>
      <t xml:space="preserve"> (</t>
    </r>
    <r>
      <rPr>
        <b/>
        <i/>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</si>
  <si>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t>Math Student Progress</t>
  </si>
  <si>
    <t>ELA Student Progress</t>
  </si>
  <si>
    <t>Mathematics</t>
  </si>
  <si>
    <r>
      <rPr>
        <b/>
        <i/>
        <sz val="9"/>
        <color theme="1"/>
        <rFont val="Calibri"/>
        <family val="2"/>
        <scheme val="minor"/>
      </rPr>
      <t xml:space="preserve">Notes: </t>
    </r>
    <r>
      <rPr>
        <i/>
        <sz val="9"/>
        <color theme="1"/>
        <rFont val="Calibri"/>
        <family val="2"/>
        <scheme val="minor"/>
      </rPr>
      <t xml:space="preserve">Changes in the 2023 South Carolina College- and Career-Ready Standards for English Language Arts from the 2015 standards required revisions to the SC READY ELA assessment. Although the changes to the assessment are not expected to affect the calculation and reporting of the Academic Achievement indicator, changes are expected to affect the vertical scale, achievement level cut scores, and distribution of expected growth scores enough to prevent the inclusion of ELA growth records in the calculation of the Added-Value Growth Model (AVGM) metrics (i.e., </t>
    </r>
    <r>
      <rPr>
        <b/>
        <i/>
        <sz val="9"/>
        <color theme="1"/>
        <rFont val="Calibri"/>
        <family val="2"/>
        <scheme val="minor"/>
      </rPr>
      <t>RP</t>
    </r>
    <r>
      <rPr>
        <b/>
        <i/>
        <vertAlign val="subscript"/>
        <sz val="9"/>
        <color theme="1"/>
        <rFont val="Calibri"/>
        <family val="2"/>
        <scheme val="minor"/>
      </rPr>
      <t>T</t>
    </r>
    <r>
      <rPr>
        <i/>
        <sz val="9"/>
        <color theme="1"/>
        <rFont val="Calibri"/>
        <family val="2"/>
        <scheme val="minor"/>
      </rPr>
      <t xml:space="preserve"> and </t>
    </r>
    <r>
      <rPr>
        <b/>
        <i/>
        <sz val="9"/>
        <color theme="1"/>
        <rFont val="Calibri"/>
        <family val="2"/>
        <scheme val="minor"/>
      </rPr>
      <t>RP</t>
    </r>
    <r>
      <rPr>
        <b/>
        <i/>
        <vertAlign val="subscript"/>
        <sz val="9"/>
        <color theme="1"/>
        <rFont val="Calibri"/>
        <family val="2"/>
        <scheme val="minor"/>
      </rPr>
      <t>P</t>
    </r>
    <r>
      <rPr>
        <i/>
        <sz val="9"/>
        <color theme="1"/>
        <rFont val="Calibri"/>
        <family val="2"/>
        <scheme val="minor"/>
      </rPr>
      <t>, or "Target Points" and "Percentage Points" respectively) for 2025 Report Cards. VAM Points (</t>
    </r>
    <r>
      <rPr>
        <b/>
        <i/>
        <sz val="9"/>
        <color theme="1"/>
        <rFont val="Calibri"/>
        <family val="2"/>
        <scheme val="minor"/>
      </rPr>
      <t>ISP</t>
    </r>
    <r>
      <rPr>
        <b/>
        <i/>
        <vertAlign val="subscript"/>
        <sz val="9"/>
        <color theme="1"/>
        <rFont val="Calibri"/>
        <family val="2"/>
        <scheme val="minor"/>
      </rPr>
      <t>Sch</t>
    </r>
    <r>
      <rPr>
        <i/>
        <sz val="9"/>
        <color theme="1"/>
        <rFont val="Calibri"/>
        <family val="2"/>
        <scheme val="minor"/>
      </rPr>
      <t>) can be calculated for both ELA and Mathematics growth records and will function as in previous years.
In the first column, enter the number of students who are projected to score below their MAT and below their AVT; in the middle column, enter all students projected to score above their MAT (including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</si>
  <si>
    <t>Number of MLs projected to meet or exceed progress target:</t>
  </si>
  <si>
    <r>
      <t xml:space="preserve">Number of continuously-enrolled MLs </t>
    </r>
    <r>
      <rPr>
        <b/>
        <i/>
        <sz val="11"/>
        <color theme="1"/>
        <rFont val="Calibri"/>
        <family val="2"/>
        <scheme val="minor"/>
      </rPr>
      <t>required</t>
    </r>
    <r>
      <rPr>
        <sz val="11"/>
        <color theme="1"/>
        <rFont val="Calibri"/>
        <family val="2"/>
        <scheme val="minor"/>
      </rPr>
      <t xml:space="preserve"> to test: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</si>
  <si>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</si>
  <si>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t>Number of continuously-enrolled MLs not tested:</t>
  </si>
  <si>
    <r>
      <t>Note about the 2025 Simulator:</t>
    </r>
    <r>
      <rPr>
        <i/>
        <sz val="9"/>
        <color theme="1"/>
        <rFont val="Calibri"/>
        <family val="2"/>
        <scheme val="minor"/>
      </rPr>
      <t xml:space="preserve"> All formulas to calculate AVGM metrics for ELA still work.  To accuarately estimate 2025 Report Cards, do not enter data in the grayed-out cells.  If you choose to use these cells for "what if" analyses related to AVGM, they will be included in the estimated Rating Points and will differ from the calculations used on Report Cards.</t>
    </r>
  </si>
  <si>
    <r>
      <t>2025 School Report Card Simulator</t>
    </r>
    <r>
      <rPr>
        <sz val="14"/>
        <color theme="1"/>
        <rFont val="Arial"/>
        <family val="2"/>
      </rPr>
      <t xml:space="preserve"> (v 1.2.0; 11/18/2024)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</si>
</sst>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sz val="9"/>
      <color theme="1"/>
      <name val="Calibri"/>
      <family val="2"/>
      <scheme val="minor"/>
    </font>
    <font>
      <sz val="11"/>
      <color theme="1"/>
      <name val="Calibri"/>
      <family val="2"/>
    </font>
    <font>
      <sz val="8"/>
      <color theme="1"/>
      <name val="Calibri"/>
      <family val="2"/>
      <scheme val="minor"/>
    </font>
    <font>
      <b/>
      <sz val="8"/>
      <color theme="1"/>
      <name val="Calibri"/>
      <family val="2"/>
      <scheme val="minor"/>
    </font>
    <font>
      <b/>
      <i/>
      <vertAlign val="subscript"/>
      <sz val="9"/>
      <color theme="1"/>
      <name val="Calibri"/>
      <family val="2"/>
      <scheme val="minor"/>
    </font>
    <font>
      <b/>
      <sz val="14"/>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79998168889431442"/>
        <bgColor indexed="64"/>
      </patternFill>
    </fill>
  </fills>
  <borders count="84">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dotted">
        <color auto="1"/>
      </left>
      <right style="medium">
        <color indexed="64"/>
      </right>
      <top style="dotted">
        <color auto="1"/>
      </top>
      <bottom style="dotted">
        <color auto="1"/>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 fillId="0" borderId="19" xfId="0" applyFont="1" applyBorder="1" applyAlignment="1">
      <alignment horizontal="right"/>
    </xf>
    <xf numFmtId="0" fontId="0" fillId="0" borderId="19" xfId="0" applyBorder="1" applyAlignment="1">
      <alignment horizontal="right"/>
    </xf>
    <xf numFmtId="0" fontId="0" fillId="0" borderId="20" xfId="0" applyBorder="1"/>
    <xf numFmtId="0" fontId="0" fillId="0" borderId="21" xfId="0" applyBorder="1" applyAlignment="1">
      <alignment horizontal="right"/>
    </xf>
    <xf numFmtId="2" fontId="6" fillId="5" borderId="30" xfId="0" applyNumberFormat="1" applyFont="1" applyFill="1" applyBorder="1" applyAlignment="1">
      <alignment horizontal="center" vertical="center"/>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2" fontId="6" fillId="5" borderId="33" xfId="0" applyNumberFormat="1" applyFont="1" applyFill="1" applyBorder="1" applyAlignment="1">
      <alignment horizontal="center" vertical="center"/>
    </xf>
    <xf numFmtId="0" fontId="0" fillId="0" borderId="17" xfId="0" applyBorder="1"/>
    <xf numFmtId="0" fontId="2" fillId="0" borderId="34"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right" vertical="center"/>
    </xf>
    <xf numFmtId="0" fontId="0" fillId="4" borderId="37" xfId="0" applyFill="1" applyBorder="1" applyAlignment="1">
      <alignment horizontal="center" vertical="center"/>
    </xf>
    <xf numFmtId="0" fontId="2" fillId="3" borderId="10" xfId="0" applyFont="1" applyFill="1" applyBorder="1" applyAlignment="1">
      <alignment horizontal="center" vertical="center"/>
    </xf>
    <xf numFmtId="164" fontId="2" fillId="3" borderId="10" xfId="1" applyNumberFormat="1" applyFont="1" applyFill="1" applyBorder="1" applyAlignment="1">
      <alignment horizontal="center" vertical="center"/>
    </xf>
    <xf numFmtId="0" fontId="0" fillId="0" borderId="0" xfId="0" applyAlignment="1">
      <alignment horizontal="right"/>
    </xf>
    <xf numFmtId="0" fontId="2" fillId="3" borderId="26" xfId="0" applyFont="1" applyFill="1" applyBorder="1" applyAlignment="1">
      <alignment horizontal="center" vertical="center"/>
    </xf>
    <xf numFmtId="164" fontId="2" fillId="3" borderId="26" xfId="1" applyNumberFormat="1" applyFont="1" applyFill="1" applyBorder="1" applyAlignment="1">
      <alignment horizontal="center" vertical="center"/>
    </xf>
    <xf numFmtId="2" fontId="6" fillId="3" borderId="10"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3" xfId="0" applyBorder="1"/>
    <xf numFmtId="0" fontId="0" fillId="0" borderId="1" xfId="0" applyBorder="1"/>
    <xf numFmtId="0" fontId="9" fillId="6" borderId="38" xfId="0" applyFont="1" applyFill="1" applyBorder="1" applyAlignment="1">
      <alignment horizontal="center"/>
    </xf>
    <xf numFmtId="0" fontId="9" fillId="6" borderId="39" xfId="0" applyFont="1" applyFill="1" applyBorder="1" applyAlignment="1">
      <alignment horizontal="center"/>
    </xf>
    <xf numFmtId="0" fontId="2" fillId="3" borderId="36" xfId="0" applyFont="1" applyFill="1" applyBorder="1" applyAlignment="1">
      <alignment horizontal="center" vertical="center"/>
    </xf>
    <xf numFmtId="0" fontId="0" fillId="0" borderId="20" xfId="0" applyBorder="1" applyAlignment="1">
      <alignment horizontal="right"/>
    </xf>
    <xf numFmtId="0" fontId="5" fillId="6" borderId="42" xfId="0" applyFont="1" applyFill="1" applyBorder="1" applyAlignment="1">
      <alignment horizontal="center"/>
    </xf>
    <xf numFmtId="0" fontId="0" fillId="0" borderId="34" xfId="0" applyBorder="1"/>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7" borderId="8" xfId="0" applyFill="1" applyBorder="1" applyAlignment="1">
      <alignment horizontal="center" vertical="center"/>
    </xf>
    <xf numFmtId="164" fontId="8" fillId="3" borderId="25" xfId="1" applyNumberFormat="1" applyFont="1" applyFill="1" applyBorder="1" applyAlignment="1">
      <alignment horizontal="center" vertical="center"/>
    </xf>
    <xf numFmtId="0" fontId="0" fillId="4" borderId="51" xfId="0" applyFill="1" applyBorder="1" applyAlignment="1">
      <alignment horizontal="center" vertical="center"/>
    </xf>
    <xf numFmtId="0" fontId="0" fillId="4" borderId="53" xfId="0" applyFill="1" applyBorder="1" applyAlignment="1">
      <alignment horizontal="center" vertical="center"/>
    </xf>
    <xf numFmtId="0" fontId="11" fillId="0" borderId="3" xfId="0" applyFont="1" applyBorder="1" applyAlignment="1">
      <alignment vertical="top" wrapText="1"/>
    </xf>
    <xf numFmtId="0" fontId="11" fillId="0" borderId="1" xfId="0" applyFont="1" applyBorder="1" applyAlignment="1">
      <alignment vertical="top" wrapText="1"/>
    </xf>
    <xf numFmtId="0" fontId="2" fillId="0" borderId="49" xfId="0" applyFont="1" applyBorder="1" applyAlignment="1">
      <alignment horizontal="right"/>
    </xf>
    <xf numFmtId="164" fontId="2" fillId="3" borderId="56" xfId="1" applyNumberFormat="1" applyFont="1" applyFill="1" applyBorder="1" applyAlignment="1">
      <alignment horizontal="center" vertical="center"/>
    </xf>
    <xf numFmtId="0" fontId="0" fillId="0" borderId="5" xfId="0" applyBorder="1"/>
    <xf numFmtId="0" fontId="0" fillId="0" borderId="2" xfId="0" applyBorder="1"/>
    <xf numFmtId="0" fontId="0" fillId="4" borderId="58" xfId="0" applyFill="1" applyBorder="1" applyAlignment="1">
      <alignment horizontal="center" vertical="center"/>
    </xf>
    <xf numFmtId="2" fontId="6" fillId="4" borderId="30" xfId="0" applyNumberFormat="1"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7" xfId="0" applyFont="1" applyFill="1" applyBorder="1" applyAlignment="1">
      <alignment horizontal="center" vertical="center"/>
    </xf>
    <xf numFmtId="2" fontId="6" fillId="3" borderId="55" xfId="0" applyNumberFormat="1" applyFont="1" applyFill="1" applyBorder="1" applyAlignment="1">
      <alignment horizontal="center" vertical="center"/>
    </xf>
    <xf numFmtId="2" fontId="6" fillId="3" borderId="24" xfId="0" applyNumberFormat="1" applyFont="1" applyFill="1" applyBorder="1" applyAlignment="1">
      <alignment horizontal="center" vertical="center"/>
    </xf>
    <xf numFmtId="2" fontId="6" fillId="3" borderId="33" xfId="0" applyNumberFormat="1" applyFont="1" applyFill="1" applyBorder="1" applyAlignment="1">
      <alignment horizontal="center" vertical="center"/>
    </xf>
    <xf numFmtId="2" fontId="6" fillId="5" borderId="60" xfId="0" applyNumberFormat="1" applyFont="1" applyFill="1" applyBorder="1" applyAlignment="1">
      <alignment horizontal="center" vertical="center"/>
    </xf>
    <xf numFmtId="2" fontId="6" fillId="3" borderId="29" xfId="0" applyNumberFormat="1" applyFont="1" applyFill="1" applyBorder="1" applyAlignment="1">
      <alignment horizontal="center" vertical="center"/>
    </xf>
    <xf numFmtId="2" fontId="6" fillId="5" borderId="61" xfId="0" applyNumberFormat="1" applyFont="1" applyFill="1" applyBorder="1" applyAlignment="1">
      <alignment horizontal="center" vertical="center"/>
    </xf>
    <xf numFmtId="2" fontId="6" fillId="3" borderId="42" xfId="0" applyNumberFormat="1" applyFont="1" applyFill="1" applyBorder="1" applyAlignment="1">
      <alignment horizontal="center" vertical="center"/>
    </xf>
    <xf numFmtId="2" fontId="6" fillId="3" borderId="62" xfId="0" applyNumberFormat="1" applyFont="1" applyFill="1" applyBorder="1" applyAlignment="1">
      <alignment horizontal="center" vertical="center"/>
    </xf>
    <xf numFmtId="1" fontId="0" fillId="0" borderId="0" xfId="0" applyNumberFormat="1"/>
    <xf numFmtId="0" fontId="15" fillId="6" borderId="27" xfId="0" applyFont="1" applyFill="1" applyBorder="1" applyAlignment="1">
      <alignment horizontal="center"/>
    </xf>
    <xf numFmtId="0" fontId="15" fillId="6" borderId="55" xfId="0" applyFont="1" applyFill="1" applyBorder="1" applyAlignment="1">
      <alignment horizontal="center"/>
    </xf>
    <xf numFmtId="0" fontId="15" fillId="6" borderId="63" xfId="0" applyFont="1" applyFill="1" applyBorder="1" applyAlignment="1">
      <alignment horizontal="center"/>
    </xf>
    <xf numFmtId="0" fontId="17" fillId="6" borderId="64" xfId="0" applyFont="1" applyFill="1" applyBorder="1" applyAlignment="1">
      <alignment horizontal="center" vertical="center"/>
    </xf>
    <xf numFmtId="0" fontId="17" fillId="6" borderId="65" xfId="0" applyFont="1" applyFill="1" applyBorder="1" applyAlignment="1">
      <alignment horizontal="center" vertical="center"/>
    </xf>
    <xf numFmtId="0" fontId="15" fillId="6" borderId="56" xfId="0" applyFont="1" applyFill="1" applyBorder="1" applyAlignment="1">
      <alignment horizontal="center"/>
    </xf>
    <xf numFmtId="1" fontId="16" fillId="6" borderId="17" xfId="0" applyNumberFormat="1" applyFont="1" applyFill="1" applyBorder="1" applyAlignment="1">
      <alignment horizontal="center"/>
    </xf>
    <xf numFmtId="1" fontId="16" fillId="6" borderId="19" xfId="0" applyNumberFormat="1" applyFont="1" applyFill="1" applyBorder="1" applyAlignment="1">
      <alignment horizontal="center"/>
    </xf>
    <xf numFmtId="2" fontId="16" fillId="6" borderId="54" xfId="0" applyNumberFormat="1" applyFont="1" applyFill="1" applyBorder="1" applyAlignment="1">
      <alignment horizontal="center"/>
    </xf>
    <xf numFmtId="2" fontId="16" fillId="6" borderId="19" xfId="0" applyNumberFormat="1" applyFont="1" applyFill="1" applyBorder="1" applyAlignment="1">
      <alignment horizontal="center"/>
    </xf>
    <xf numFmtId="1" fontId="16" fillId="6" borderId="5" xfId="0" applyNumberFormat="1" applyFont="1" applyFill="1" applyBorder="1" applyAlignment="1">
      <alignment horizontal="center"/>
    </xf>
    <xf numFmtId="1" fontId="16" fillId="6" borderId="57" xfId="0" applyNumberFormat="1" applyFont="1" applyFill="1" applyBorder="1" applyAlignment="1">
      <alignment horizontal="center"/>
    </xf>
    <xf numFmtId="2" fontId="16" fillId="6" borderId="59" xfId="0" applyNumberFormat="1" applyFont="1" applyFill="1" applyBorder="1" applyAlignment="1">
      <alignment horizontal="center"/>
    </xf>
    <xf numFmtId="2" fontId="16" fillId="6" borderId="57" xfId="0" applyNumberFormat="1" applyFont="1" applyFill="1" applyBorder="1" applyAlignment="1">
      <alignment horizontal="center"/>
    </xf>
    <xf numFmtId="0" fontId="15" fillId="6" borderId="28" xfId="0" applyFont="1" applyFill="1" applyBorder="1" applyAlignment="1">
      <alignment horizontal="center"/>
    </xf>
    <xf numFmtId="2" fontId="16" fillId="6" borderId="0" xfId="0" applyNumberFormat="1" applyFont="1" applyFill="1" applyAlignment="1">
      <alignment horizontal="center"/>
    </xf>
    <xf numFmtId="2" fontId="16" fillId="6" borderId="2" xfId="0" applyNumberFormat="1" applyFont="1" applyFill="1" applyBorder="1" applyAlignment="1">
      <alignment horizontal="center"/>
    </xf>
    <xf numFmtId="0" fontId="7" fillId="0" borderId="0" xfId="0" applyFont="1" applyAlignment="1">
      <alignment vertical="center"/>
    </xf>
    <xf numFmtId="0" fontId="0" fillId="4" borderId="66" xfId="0" applyFill="1" applyBorder="1" applyAlignment="1">
      <alignment horizontal="center" vertical="center"/>
    </xf>
    <xf numFmtId="0" fontId="0" fillId="0" borderId="49" xfId="0" applyBorder="1" applyAlignment="1">
      <alignment horizontal="right"/>
    </xf>
    <xf numFmtId="164" fontId="2" fillId="3" borderId="25" xfId="1" applyNumberFormat="1" applyFont="1" applyFill="1" applyBorder="1" applyAlignment="1">
      <alignment horizontal="center" vertical="center"/>
    </xf>
    <xf numFmtId="0" fontId="0" fillId="0" borderId="2" xfId="0" applyBorder="1" applyAlignment="1">
      <alignment horizontal="right"/>
    </xf>
    <xf numFmtId="0" fontId="0" fillId="0" borderId="18" xfId="0" applyBorder="1"/>
    <xf numFmtId="0" fontId="0" fillId="0" borderId="18" xfId="0" applyBorder="1" applyAlignment="1">
      <alignment horizontal="right"/>
    </xf>
    <xf numFmtId="0" fontId="0" fillId="0" borderId="45" xfId="0" applyBorder="1"/>
    <xf numFmtId="0" fontId="0" fillId="8" borderId="53" xfId="0" applyFill="1" applyBorder="1" applyAlignment="1">
      <alignment horizontal="center" vertical="center"/>
    </xf>
    <xf numFmtId="0" fontId="0" fillId="8" borderId="72" xfId="0" applyFill="1" applyBorder="1" applyAlignment="1">
      <alignment horizontal="center" vertical="center"/>
    </xf>
    <xf numFmtId="0" fontId="0" fillId="8" borderId="15" xfId="0" applyFill="1" applyBorder="1" applyAlignment="1">
      <alignment horizontal="center" vertical="center"/>
    </xf>
    <xf numFmtId="0" fontId="0" fillId="8" borderId="58" xfId="0" applyFill="1" applyBorder="1" applyAlignment="1">
      <alignment horizontal="center" vertical="center"/>
    </xf>
    <xf numFmtId="0" fontId="2" fillId="6" borderId="34" xfId="0" applyFont="1" applyFill="1" applyBorder="1" applyAlignment="1">
      <alignment vertical="center"/>
    </xf>
    <xf numFmtId="0" fontId="2" fillId="6" borderId="20" xfId="0" applyFont="1" applyFill="1" applyBorder="1" applyAlignment="1">
      <alignment vertical="center"/>
    </xf>
    <xf numFmtId="0" fontId="2" fillId="6" borderId="20" xfId="0" applyFont="1" applyFill="1" applyBorder="1" applyAlignment="1">
      <alignment horizontal="right" vertical="center"/>
    </xf>
    <xf numFmtId="0" fontId="0" fillId="0" borderId="54" xfId="0" applyBorder="1" applyAlignment="1">
      <alignment horizontal="center" vertical="center"/>
    </xf>
    <xf numFmtId="0" fontId="0" fillId="0" borderId="70" xfId="0" applyBorder="1" applyAlignment="1">
      <alignment horizontal="center" vertical="center"/>
    </xf>
    <xf numFmtId="0" fontId="3" fillId="0" borderId="20" xfId="0" applyFont="1" applyBorder="1" applyAlignment="1">
      <alignment horizontal="center" vertical="center"/>
    </xf>
    <xf numFmtId="2" fontId="6" fillId="0" borderId="20" xfId="0" applyNumberFormat="1" applyFont="1" applyBorder="1" applyAlignment="1">
      <alignment horizontal="right" vertical="center"/>
    </xf>
    <xf numFmtId="164" fontId="2" fillId="3" borderId="35" xfId="1" applyNumberFormat="1" applyFont="1" applyFill="1" applyBorder="1" applyAlignment="1">
      <alignment horizontal="center" vertical="center"/>
    </xf>
    <xf numFmtId="0" fontId="0" fillId="4" borderId="36" xfId="0" applyFill="1" applyBorder="1" applyAlignment="1">
      <alignment horizontal="center" vertical="center"/>
    </xf>
    <xf numFmtId="164" fontId="0" fillId="3" borderId="26" xfId="1" applyNumberFormat="1" applyFont="1" applyFill="1" applyBorder="1" applyAlignment="1">
      <alignment horizontal="center" vertical="center"/>
    </xf>
    <xf numFmtId="0" fontId="0" fillId="8" borderId="36" xfId="0" applyFill="1" applyBorder="1" applyAlignment="1">
      <alignment horizontal="center" vertical="center"/>
    </xf>
    <xf numFmtId="0" fontId="0" fillId="8" borderId="26" xfId="0" applyFill="1" applyBorder="1" applyAlignment="1">
      <alignment horizontal="center" vertical="center"/>
    </xf>
    <xf numFmtId="0" fontId="0" fillId="4" borderId="46" xfId="0" applyFill="1" applyBorder="1" applyAlignment="1">
      <alignment horizontal="center"/>
    </xf>
    <xf numFmtId="0" fontId="0" fillId="4" borderId="48" xfId="0" applyFill="1" applyBorder="1" applyAlignment="1">
      <alignment horizontal="center"/>
    </xf>
    <xf numFmtId="1" fontId="6" fillId="5" borderId="30" xfId="0" applyNumberFormat="1" applyFont="1" applyFill="1" applyBorder="1" applyAlignment="1">
      <alignment horizontal="center" vertical="center"/>
    </xf>
    <xf numFmtId="0" fontId="9" fillId="6" borderId="74" xfId="0" applyFont="1" applyFill="1" applyBorder="1" applyAlignment="1">
      <alignment horizontal="center"/>
    </xf>
    <xf numFmtId="0" fontId="9" fillId="6" borderId="75" xfId="0" applyFont="1" applyFill="1" applyBorder="1" applyAlignment="1">
      <alignment horizontal="center"/>
    </xf>
    <xf numFmtId="0" fontId="9" fillId="6" borderId="76" xfId="0" applyFont="1" applyFill="1" applyBorder="1" applyAlignment="1">
      <alignment horizontal="center"/>
    </xf>
    <xf numFmtId="0" fontId="10" fillId="4" borderId="46" xfId="0" applyFont="1" applyFill="1" applyBorder="1" applyAlignment="1">
      <alignment horizontal="left" vertical="top" wrapText="1"/>
    </xf>
    <xf numFmtId="0" fontId="10" fillId="4" borderId="48" xfId="0" applyFont="1" applyFill="1" applyBorder="1" applyAlignment="1">
      <alignment horizontal="left" vertical="top" wrapText="1"/>
    </xf>
    <xf numFmtId="0" fontId="0" fillId="4" borderId="8" xfId="0" applyFill="1" applyBorder="1"/>
    <xf numFmtId="0" fontId="0" fillId="0" borderId="77" xfId="0" applyBorder="1" applyAlignment="1">
      <alignment horizontal="right"/>
    </xf>
    <xf numFmtId="2" fontId="6" fillId="5" borderId="56" xfId="0" applyNumberFormat="1" applyFont="1" applyFill="1" applyBorder="1" applyAlignment="1">
      <alignment horizontal="center" vertical="center"/>
    </xf>
    <xf numFmtId="2" fontId="6" fillId="5" borderId="26" xfId="0" applyNumberFormat="1" applyFont="1" applyFill="1" applyBorder="1" applyAlignment="1">
      <alignment horizontal="center" vertical="center"/>
    </xf>
    <xf numFmtId="2" fontId="6" fillId="5" borderId="32" xfId="0" applyNumberFormat="1" applyFont="1" applyFill="1" applyBorder="1" applyAlignment="1">
      <alignment horizontal="center" vertical="center"/>
    </xf>
    <xf numFmtId="0" fontId="13" fillId="0" borderId="0" xfId="0" applyFont="1" applyAlignment="1">
      <alignment horizontal="right" vertical="center"/>
    </xf>
    <xf numFmtId="0" fontId="13" fillId="0" borderId="2" xfId="0" applyFont="1" applyBorder="1" applyAlignment="1">
      <alignment horizontal="right" vertical="center"/>
    </xf>
    <xf numFmtId="0" fontId="5" fillId="6" borderId="24" xfId="0" applyFont="1" applyFill="1" applyBorder="1" applyAlignment="1">
      <alignment horizontal="center"/>
    </xf>
    <xf numFmtId="2" fontId="6" fillId="9" borderId="60" xfId="0" applyNumberFormat="1" applyFont="1" applyFill="1" applyBorder="1" applyAlignment="1">
      <alignment horizontal="center" vertical="center"/>
    </xf>
    <xf numFmtId="2" fontId="6" fillId="9" borderId="61" xfId="0" applyNumberFormat="1" applyFont="1" applyFill="1" applyBorder="1" applyAlignment="1">
      <alignment horizontal="center" vertical="center"/>
    </xf>
    <xf numFmtId="2" fontId="6" fillId="9" borderId="30" xfId="0" applyNumberFormat="1" applyFont="1" applyFill="1" applyBorder="1" applyAlignment="1">
      <alignment horizontal="center" vertical="center"/>
    </xf>
    <xf numFmtId="0" fontId="0" fillId="7" borderId="78" xfId="0" applyFill="1" applyBorder="1" applyAlignment="1">
      <alignment horizontal="center" vertical="center"/>
    </xf>
    <xf numFmtId="0" fontId="11" fillId="6" borderId="15"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42" xfId="0" applyFont="1" applyFill="1" applyBorder="1" applyAlignment="1">
      <alignment horizontal="center" vertical="center"/>
    </xf>
    <xf numFmtId="0" fontId="6" fillId="9" borderId="47" xfId="0" applyFont="1" applyFill="1" applyBorder="1" applyAlignment="1">
      <alignment horizontal="center" vertical="center"/>
    </xf>
    <xf numFmtId="0" fontId="11" fillId="6" borderId="25" xfId="0" applyFont="1" applyFill="1" applyBorder="1" applyAlignment="1">
      <alignment horizontal="center" vertical="center"/>
    </xf>
    <xf numFmtId="2" fontId="0" fillId="4" borderId="10" xfId="0" applyNumberFormat="1" applyFill="1" applyBorder="1" applyAlignment="1">
      <alignment horizontal="center" vertical="center"/>
    </xf>
    <xf numFmtId="0" fontId="0" fillId="4" borderId="73" xfId="0" applyFill="1" applyBorder="1"/>
    <xf numFmtId="0" fontId="0" fillId="4" borderId="50" xfId="0" applyFill="1" applyBorder="1"/>
    <xf numFmtId="0" fontId="0" fillId="8" borderId="73" xfId="0" applyFill="1" applyBorder="1"/>
    <xf numFmtId="0" fontId="0" fillId="8" borderId="50" xfId="0" applyFill="1" applyBorder="1"/>
    <xf numFmtId="0" fontId="3" fillId="0" borderId="17" xfId="0" applyFont="1" applyBorder="1" applyAlignment="1">
      <alignment horizontal="center" vertical="center"/>
    </xf>
    <xf numFmtId="0" fontId="3" fillId="0" borderId="0" xfId="0" applyFont="1" applyAlignment="1">
      <alignment horizontal="center" vertical="center"/>
    </xf>
    <xf numFmtId="2" fontId="6" fillId="0" borderId="0" xfId="0" applyNumberFormat="1" applyFont="1" applyAlignment="1">
      <alignment horizontal="right" vertical="center"/>
    </xf>
    <xf numFmtId="0" fontId="2" fillId="3" borderId="25" xfId="0" applyFont="1" applyFill="1" applyBorder="1" applyAlignment="1">
      <alignment horizontal="center" vertical="center"/>
    </xf>
    <xf numFmtId="2" fontId="6" fillId="7" borderId="10" xfId="0" applyNumberFormat="1" applyFont="1" applyFill="1" applyBorder="1" applyAlignment="1">
      <alignment horizontal="center" vertical="center"/>
    </xf>
    <xf numFmtId="0" fontId="0" fillId="0" borderId="0" xfId="0" applyBorder="1"/>
    <xf numFmtId="0" fontId="0" fillId="7" borderId="79" xfId="0" applyFill="1" applyBorder="1" applyAlignment="1">
      <alignment horizontal="center" vertical="center"/>
    </xf>
    <xf numFmtId="0" fontId="0" fillId="3" borderId="80" xfId="0" applyFill="1" applyBorder="1" applyAlignment="1">
      <alignment horizontal="center" vertical="center"/>
    </xf>
    <xf numFmtId="0" fontId="2" fillId="0" borderId="28" xfId="0" applyFont="1" applyBorder="1" applyAlignment="1">
      <alignment vertical="center"/>
    </xf>
    <xf numFmtId="0" fontId="0" fillId="0" borderId="28" xfId="0" applyBorder="1"/>
    <xf numFmtId="0" fontId="0" fillId="4" borderId="81" xfId="0" applyFill="1" applyBorder="1" applyAlignment="1">
      <alignment horizontal="center" vertical="center"/>
    </xf>
    <xf numFmtId="0" fontId="2" fillId="0" borderId="21" xfId="0" applyFont="1" applyBorder="1" applyAlignment="1">
      <alignment horizontal="right"/>
    </xf>
    <xf numFmtId="0" fontId="0" fillId="0" borderId="57" xfId="0" applyBorder="1" applyAlignment="1">
      <alignment horizontal="right"/>
    </xf>
    <xf numFmtId="0" fontId="2" fillId="0" borderId="55" xfId="0" applyFont="1" applyBorder="1" applyAlignment="1">
      <alignment horizontal="right"/>
    </xf>
    <xf numFmtId="0" fontId="7" fillId="0" borderId="0" xfId="0" applyFont="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0" fillId="0" borderId="45" xfId="0" applyFont="1" applyBorder="1" applyAlignment="1">
      <alignment horizontal="left" vertical="top" wrapText="1"/>
    </xf>
    <xf numFmtId="0" fontId="10" fillId="0" borderId="18" xfId="0" applyFont="1" applyBorder="1" applyAlignment="1">
      <alignment horizontal="left" vertical="top" wrapText="1"/>
    </xf>
    <xf numFmtId="0" fontId="10" fillId="0" borderId="44"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25" fillId="2" borderId="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77" xfId="0" applyFont="1" applyFill="1" applyBorder="1" applyAlignment="1">
      <alignment horizontal="center" vertical="center"/>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44"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6" xfId="0" applyFont="1" applyBorder="1" applyAlignment="1">
      <alignment horizontal="left" vertical="top" wrapText="1"/>
    </xf>
    <xf numFmtId="0" fontId="14" fillId="6" borderId="3" xfId="0" applyFont="1" applyFill="1" applyBorder="1" applyAlignment="1">
      <alignment horizontal="center"/>
    </xf>
    <xf numFmtId="0" fontId="14" fillId="6" borderId="1" xfId="0" applyFont="1" applyFill="1" applyBorder="1" applyAlignment="1">
      <alignment horizontal="center"/>
    </xf>
    <xf numFmtId="0" fontId="14" fillId="6" borderId="4" xfId="0" applyFont="1" applyFill="1" applyBorder="1" applyAlignment="1">
      <alignment horizontal="center"/>
    </xf>
    <xf numFmtId="0" fontId="10" fillId="0" borderId="3" xfId="0" applyFont="1" applyBorder="1" applyAlignment="1">
      <alignment horizontal="left" vertical="top" wrapText="1"/>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5" fillId="6" borderId="34" xfId="0" applyFont="1" applyFill="1" applyBorder="1" applyAlignment="1">
      <alignment horizontal="center"/>
    </xf>
    <xf numFmtId="0" fontId="5" fillId="6" borderId="20" xfId="0" applyFont="1" applyFill="1" applyBorder="1" applyAlignment="1">
      <alignment horizontal="center"/>
    </xf>
    <xf numFmtId="0" fontId="5" fillId="6" borderId="23" xfId="0" applyFont="1" applyFill="1" applyBorder="1" applyAlignment="1">
      <alignment horizontal="center"/>
    </xf>
    <xf numFmtId="0" fontId="5" fillId="6" borderId="24" xfId="0" applyFont="1" applyFill="1" applyBorder="1" applyAlignment="1">
      <alignment horizontal="center"/>
    </xf>
    <xf numFmtId="0" fontId="5" fillId="6" borderId="43" xfId="0" applyFont="1" applyFill="1" applyBorder="1" applyAlignment="1">
      <alignment horizontal="center"/>
    </xf>
    <xf numFmtId="0" fontId="10" fillId="0" borderId="82" xfId="0" applyFont="1" applyBorder="1" applyAlignment="1">
      <alignment horizontal="left" vertical="top" wrapText="1"/>
    </xf>
    <xf numFmtId="0" fontId="10" fillId="0" borderId="59" xfId="0" applyFont="1" applyBorder="1" applyAlignment="1">
      <alignment horizontal="left" vertical="top" wrapText="1"/>
    </xf>
    <xf numFmtId="0" fontId="5" fillId="6" borderId="25" xfId="0" applyFont="1" applyFill="1" applyBorder="1" applyAlignment="1">
      <alignment horizontal="center"/>
    </xf>
    <xf numFmtId="0" fontId="5" fillId="6" borderId="56" xfId="0" applyFont="1" applyFill="1" applyBorder="1" applyAlignment="1">
      <alignment horizontal="center"/>
    </xf>
    <xf numFmtId="0" fontId="10" fillId="0" borderId="54" xfId="0" applyFont="1" applyBorder="1" applyAlignment="1">
      <alignment horizontal="left" vertical="top" wrapText="1"/>
    </xf>
    <xf numFmtId="0" fontId="22" fillId="0" borderId="52" xfId="0" applyFont="1" applyBorder="1" applyAlignment="1">
      <alignment horizontal="right" vertical="center" wrapText="1"/>
    </xf>
    <xf numFmtId="0" fontId="22" fillId="0" borderId="15" xfId="0" applyFont="1" applyBorder="1" applyAlignment="1">
      <alignment horizontal="right" vertical="center" wrapText="1"/>
    </xf>
    <xf numFmtId="0" fontId="0" fillId="6" borderId="43"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horizontal="center" vertical="center"/>
    </xf>
    <xf numFmtId="0" fontId="5" fillId="6" borderId="60" xfId="0" applyFont="1" applyFill="1" applyBorder="1" applyAlignment="1">
      <alignment horizontal="center"/>
    </xf>
    <xf numFmtId="0" fontId="5" fillId="6" borderId="21" xfId="0" applyFont="1" applyFill="1" applyBorder="1" applyAlignment="1">
      <alignment horizontal="center"/>
    </xf>
    <xf numFmtId="0" fontId="0" fillId="6" borderId="22" xfId="0" applyFill="1" applyBorder="1" applyAlignment="1">
      <alignment horizontal="center"/>
    </xf>
    <xf numFmtId="0" fontId="0" fillId="6" borderId="70" xfId="0" applyFill="1" applyBorder="1" applyAlignment="1">
      <alignment horizontal="center" vertical="center"/>
    </xf>
    <xf numFmtId="0" fontId="0" fillId="6" borderId="20" xfId="0" applyFill="1" applyBorder="1" applyAlignment="1">
      <alignment horizontal="center" vertical="center"/>
    </xf>
    <xf numFmtId="0" fontId="0" fillId="6" borderId="71" xfId="0" applyFill="1" applyBorder="1" applyAlignment="1">
      <alignment horizontal="center" vertical="center"/>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69" xfId="0" applyFont="1" applyBorder="1" applyAlignment="1">
      <alignment horizontal="left" vertical="top" wrapText="1"/>
    </xf>
    <xf numFmtId="0" fontId="10" fillId="0" borderId="64" xfId="0" applyFont="1" applyBorder="1" applyAlignment="1">
      <alignment horizontal="left" vertical="top" wrapText="1"/>
    </xf>
    <xf numFmtId="0" fontId="10" fillId="0" borderId="58" xfId="0" applyFont="1" applyBorder="1" applyAlignment="1">
      <alignment horizontal="left" vertical="top" wrapText="1"/>
    </xf>
    <xf numFmtId="0" fontId="10" fillId="0" borderId="65" xfId="0" applyFont="1" applyBorder="1" applyAlignment="1">
      <alignment horizontal="left" vertical="top" wrapText="1"/>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2" fillId="0" borderId="28" xfId="0" applyFont="1" applyBorder="1" applyAlignment="1">
      <alignment horizontal="right" vertical="center"/>
    </xf>
    <xf numFmtId="0" fontId="2" fillId="0" borderId="27" xfId="0" applyFont="1" applyBorder="1" applyAlignment="1">
      <alignment vertical="center"/>
    </xf>
    <xf numFmtId="0" fontId="9" fillId="6" borderId="56" xfId="0" applyFont="1" applyFill="1" applyBorder="1" applyAlignment="1">
      <alignment horizontal="center"/>
    </xf>
    <xf numFmtId="0" fontId="2" fillId="3" borderId="42" xfId="0" applyFont="1" applyFill="1" applyBorder="1" applyAlignment="1">
      <alignment horizontal="center" vertical="center"/>
    </xf>
    <xf numFmtId="164" fontId="2" fillId="3" borderId="42" xfId="1" applyNumberFormat="1" applyFont="1" applyFill="1" applyBorder="1" applyAlignment="1">
      <alignment horizontal="center" vertical="center"/>
    </xf>
    <xf numFmtId="0" fontId="0" fillId="4" borderId="83" xfId="0" applyFill="1" applyBorder="1" applyAlignment="1">
      <alignment horizontal="center" vertical="center"/>
    </xf>
  </cellXfs>
  <cellStyles count="2">
    <cellStyle name="Normal" xfId="0" builtinId="0"/>
    <cellStyle name="Percent" xfId="1" builtinId="5"/>
  </cellStyles>
  <dxfs count="4">
    <dxf>
      <font>
        <b/>
        <i val="0"/>
        <color theme="0"/>
      </font>
      <fill>
        <patternFill>
          <bgColor rgb="FFCC0000"/>
        </patternFill>
      </fill>
    </dxf>
    <dxf>
      <font>
        <b/>
        <i val="0"/>
        <color theme="0"/>
      </font>
      <fill>
        <patternFill>
          <bgColor rgb="FFCC0000"/>
        </patternFill>
      </fill>
    </dxf>
    <dxf>
      <fill>
        <patternFill>
          <bgColor rgb="FFC0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DC3-9766-47D5-884C-67522DCA0CA3}">
  <dimension ref="A1:Z78"/>
  <sheetViews>
    <sheetView tabSelected="1" zoomScaleNormal="100" workbookViewId="0">
      <selection activeCell="B2" sqref="B2:J3"/>
    </sheetView>
  </sheetViews>
  <sheetFormatPr defaultRowHeight="15" x14ac:dyDescent="0.25"/>
  <cols>
    <col min="1" max="1" width="4.5703125" customWidth="1"/>
    <col min="2" max="6" width="11.42578125" customWidth="1"/>
    <col min="7" max="10" width="18.28515625" customWidth="1"/>
    <col min="11" max="11" width="4.5703125" customWidth="1"/>
    <col min="14" max="14" width="7.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49" t="s">
        <v>165</v>
      </c>
      <c r="C2" s="150"/>
      <c r="D2" s="150"/>
      <c r="E2" s="150"/>
      <c r="F2" s="150"/>
      <c r="G2" s="150"/>
      <c r="H2" s="150"/>
      <c r="I2" s="150"/>
      <c r="J2" s="151"/>
      <c r="N2" s="176" t="s">
        <v>68</v>
      </c>
      <c r="O2" s="177"/>
      <c r="P2" s="177"/>
      <c r="Q2" s="177"/>
      <c r="R2" s="177"/>
      <c r="S2" s="177"/>
      <c r="T2" s="177"/>
      <c r="U2" s="177"/>
      <c r="V2" s="177"/>
      <c r="W2" s="177"/>
      <c r="X2" s="177"/>
      <c r="Y2" s="177"/>
      <c r="Z2" s="178"/>
    </row>
    <row r="3" spans="1:26" ht="15.75" customHeight="1" thickBot="1" x14ac:dyDescent="0.3">
      <c r="B3" s="152"/>
      <c r="C3" s="153"/>
      <c r="D3" s="153"/>
      <c r="E3" s="153"/>
      <c r="F3" s="153"/>
      <c r="G3" s="153"/>
      <c r="H3" s="153"/>
      <c r="I3" s="153"/>
      <c r="J3" s="154"/>
      <c r="N3" s="63" t="s">
        <v>64</v>
      </c>
      <c r="O3" s="64" t="s">
        <v>65</v>
      </c>
      <c r="P3" s="65" t="s">
        <v>12</v>
      </c>
      <c r="Q3" s="64" t="s">
        <v>13</v>
      </c>
      <c r="R3" s="65" t="s">
        <v>18</v>
      </c>
      <c r="S3" s="64" t="s">
        <v>19</v>
      </c>
      <c r="T3" s="65" t="s">
        <v>14</v>
      </c>
      <c r="U3" s="64" t="s">
        <v>15</v>
      </c>
      <c r="V3" s="65" t="s">
        <v>16</v>
      </c>
      <c r="W3" s="64" t="s">
        <v>17</v>
      </c>
      <c r="X3" s="65" t="s">
        <v>20</v>
      </c>
      <c r="Y3" s="64" t="s">
        <v>21</v>
      </c>
      <c r="Z3" s="68" t="s">
        <v>11</v>
      </c>
    </row>
    <row r="4" spans="1:26" ht="15.75" thickBot="1" x14ac:dyDescent="0.3">
      <c r="B4" s="28"/>
      <c r="C4" s="29"/>
      <c r="D4" s="107" t="s">
        <v>59</v>
      </c>
      <c r="E4" s="108" t="s">
        <v>60</v>
      </c>
      <c r="F4" s="109" t="s">
        <v>61</v>
      </c>
      <c r="G4" s="109" t="s">
        <v>141</v>
      </c>
      <c r="H4" s="53" t="s">
        <v>62</v>
      </c>
      <c r="I4" s="51" t="s">
        <v>63</v>
      </c>
      <c r="J4" s="52" t="s">
        <v>66</v>
      </c>
      <c r="N4" s="69">
        <v>0</v>
      </c>
      <c r="O4" s="70">
        <v>0</v>
      </c>
      <c r="P4" s="71">
        <v>0</v>
      </c>
      <c r="Q4" s="72">
        <v>0</v>
      </c>
      <c r="R4" s="71">
        <v>0</v>
      </c>
      <c r="S4" s="72">
        <v>0</v>
      </c>
      <c r="T4" s="71">
        <v>0</v>
      </c>
      <c r="U4" s="72">
        <v>0</v>
      </c>
      <c r="V4" s="71">
        <v>0</v>
      </c>
      <c r="W4" s="72">
        <v>0</v>
      </c>
      <c r="X4" s="71">
        <v>0</v>
      </c>
      <c r="Y4" s="72">
        <v>0</v>
      </c>
      <c r="Z4" s="66" t="s">
        <v>26</v>
      </c>
    </row>
    <row r="5" spans="1:26" ht="15.75" thickBot="1" x14ac:dyDescent="0.3">
      <c r="B5" s="15"/>
      <c r="C5" s="117" t="s">
        <v>55</v>
      </c>
      <c r="D5" s="57" t="str">
        <f>H11</f>
        <v>―</v>
      </c>
      <c r="E5" s="54">
        <v>35</v>
      </c>
      <c r="F5" s="58">
        <f>100-SUM(F6:F9)</f>
        <v>100</v>
      </c>
      <c r="G5" s="114" t="str">
        <f>IF(D5="―","―",IF(E5=F5,D5,D5*(F5/E5)))</f>
        <v>―</v>
      </c>
      <c r="H5" s="106" t="str">
        <f>IF(D5="―","―",SUM(G5:G9))</f>
        <v>―</v>
      </c>
      <c r="I5" s="12" t="str">
        <f>IF($D$5="―","Not Rated",IF(AND(VLOOKUP($H$5,N$3:$Z$8,13,TRUE)="Excellent",$G$12&lt;0.95,$G$12&lt;&gt;"―"),"Good",VLOOKUP($H$5,N$3:$Z$8,13,TRUE)))</f>
        <v>Not Rated</v>
      </c>
      <c r="J5" s="13" t="str">
        <f>IF($D$5="―","Not Rated",IF(AND(VLOOKUP($H$5,O$3:$Z$8,12,TRUE)="Excellent",$G$12&lt;0.95,$G$12&lt;&gt;"―"),"Good",VLOOKUP($H$5,O$3:$Z$8,12,TRUE)))</f>
        <v>Not Rated</v>
      </c>
      <c r="N5" s="69">
        <v>33.5</v>
      </c>
      <c r="O5" s="70">
        <v>28.5</v>
      </c>
      <c r="P5" s="71">
        <v>9.6199999999999992</v>
      </c>
      <c r="Q5" s="72">
        <v>8.3699999999999992</v>
      </c>
      <c r="R5" s="71">
        <v>9.66</v>
      </c>
      <c r="S5" s="72">
        <v>10.15</v>
      </c>
      <c r="T5" s="71">
        <v>3.22</v>
      </c>
      <c r="U5" s="72">
        <v>3.23</v>
      </c>
      <c r="V5" s="71">
        <v>2</v>
      </c>
      <c r="W5" s="72">
        <v>2</v>
      </c>
      <c r="X5" s="71">
        <v>5.72</v>
      </c>
      <c r="Y5" s="72">
        <v>4.38</v>
      </c>
      <c r="Z5" s="66" t="s">
        <v>25</v>
      </c>
    </row>
    <row r="6" spans="1:26" x14ac:dyDescent="0.25">
      <c r="B6" s="15"/>
      <c r="C6" s="117" t="s">
        <v>56</v>
      </c>
      <c r="D6" s="59" t="str">
        <f>H26</f>
        <v>―</v>
      </c>
      <c r="E6" s="55">
        <v>35</v>
      </c>
      <c r="F6" s="60" t="str">
        <f>IF(OR(D5="―",D6="―"),"―",E6+((SUM(E7:E9)-SUM(F7:F9))/2))</f>
        <v>―</v>
      </c>
      <c r="G6" s="115" t="str">
        <f t="shared" ref="G6:G9" si="0">IF(D6="―","―",IF(E6=F6,D6,D6*(F6/E6)))</f>
        <v>―</v>
      </c>
      <c r="H6" s="179" t="s">
        <v>132</v>
      </c>
      <c r="I6" s="180"/>
      <c r="J6" s="181"/>
      <c r="N6" s="69">
        <v>41.5</v>
      </c>
      <c r="O6" s="70">
        <v>35.5</v>
      </c>
      <c r="P6" s="71">
        <v>13.36</v>
      </c>
      <c r="Q6" s="72">
        <v>12</v>
      </c>
      <c r="R6" s="71">
        <v>13.36</v>
      </c>
      <c r="S6" s="72">
        <v>13.38</v>
      </c>
      <c r="T6" s="71">
        <v>4.3499999999999996</v>
      </c>
      <c r="U6" s="72">
        <v>4.41</v>
      </c>
      <c r="V6" s="71">
        <v>4</v>
      </c>
      <c r="W6" s="72">
        <v>4</v>
      </c>
      <c r="X6" s="71">
        <v>6.71</v>
      </c>
      <c r="Y6" s="72">
        <v>5.45</v>
      </c>
      <c r="Z6" s="66" t="s">
        <v>24</v>
      </c>
    </row>
    <row r="7" spans="1:26" x14ac:dyDescent="0.25">
      <c r="B7" s="15"/>
      <c r="C7" s="117" t="s">
        <v>57</v>
      </c>
      <c r="D7" s="59" t="str">
        <f>H57</f>
        <v>―</v>
      </c>
      <c r="E7" s="55">
        <v>10</v>
      </c>
      <c r="F7" s="60" t="str">
        <f>IF(D7="―","―",E7)</f>
        <v>―</v>
      </c>
      <c r="G7" s="115" t="str">
        <f t="shared" si="0"/>
        <v>―</v>
      </c>
      <c r="H7" s="158"/>
      <c r="I7" s="159"/>
      <c r="J7" s="160"/>
      <c r="N7" s="69">
        <v>52.5</v>
      </c>
      <c r="O7" s="70">
        <v>47.5</v>
      </c>
      <c r="P7" s="71">
        <v>18.55</v>
      </c>
      <c r="Q7" s="72">
        <v>16.72</v>
      </c>
      <c r="R7" s="71">
        <v>17.920000000000002</v>
      </c>
      <c r="S7" s="72">
        <v>17.18</v>
      </c>
      <c r="T7" s="71">
        <v>5.76</v>
      </c>
      <c r="U7" s="72">
        <v>5.75</v>
      </c>
      <c r="V7" s="71">
        <v>6</v>
      </c>
      <c r="W7" s="72">
        <v>6</v>
      </c>
      <c r="X7" s="71">
        <v>7.64</v>
      </c>
      <c r="Y7" s="72">
        <v>6.63</v>
      </c>
      <c r="Z7" s="66" t="s">
        <v>23</v>
      </c>
    </row>
    <row r="8" spans="1:26" ht="15.75" thickBot="1" x14ac:dyDescent="0.3">
      <c r="B8" s="15"/>
      <c r="C8" s="117" t="s">
        <v>54</v>
      </c>
      <c r="D8" s="59" t="str">
        <f>H69</f>
        <v>―</v>
      </c>
      <c r="E8" s="55">
        <v>10</v>
      </c>
      <c r="F8" s="60" t="str">
        <f t="shared" ref="F8:F9" si="1">IF(D8="―","―",E8)</f>
        <v>―</v>
      </c>
      <c r="G8" s="115" t="str">
        <f t="shared" si="0"/>
        <v>―</v>
      </c>
      <c r="H8" s="158"/>
      <c r="I8" s="159"/>
      <c r="J8" s="160"/>
      <c r="N8" s="73">
        <v>60.5</v>
      </c>
      <c r="O8" s="74">
        <v>55.5</v>
      </c>
      <c r="P8" s="75">
        <v>21.43</v>
      </c>
      <c r="Q8" s="76">
        <v>20.100000000000001</v>
      </c>
      <c r="R8" s="75">
        <v>21.45</v>
      </c>
      <c r="S8" s="76">
        <v>20.14</v>
      </c>
      <c r="T8" s="75">
        <v>6.54</v>
      </c>
      <c r="U8" s="76">
        <v>6.64</v>
      </c>
      <c r="V8" s="75">
        <v>8</v>
      </c>
      <c r="W8" s="76">
        <v>8</v>
      </c>
      <c r="X8" s="75">
        <v>8.2100000000000009</v>
      </c>
      <c r="Y8" s="76">
        <v>7.43</v>
      </c>
      <c r="Z8" s="67" t="s">
        <v>22</v>
      </c>
    </row>
    <row r="9" spans="1:26" ht="15.75" thickBot="1" x14ac:dyDescent="0.3">
      <c r="B9" s="47"/>
      <c r="C9" s="118" t="s">
        <v>58</v>
      </c>
      <c r="D9" s="11" t="str">
        <f>IF(ISBLANK(H74),"―",H74)</f>
        <v>―</v>
      </c>
      <c r="E9" s="56">
        <v>10</v>
      </c>
      <c r="F9" s="61" t="str">
        <f t="shared" si="1"/>
        <v>―</v>
      </c>
      <c r="G9" s="116" t="str">
        <f t="shared" si="0"/>
        <v>―</v>
      </c>
      <c r="H9" s="161"/>
      <c r="I9" s="162"/>
      <c r="J9" s="163"/>
      <c r="L9" s="62"/>
    </row>
    <row r="10" spans="1:26" x14ac:dyDescent="0.25">
      <c r="A10" s="148"/>
      <c r="B10" s="149" t="s">
        <v>0</v>
      </c>
      <c r="C10" s="150"/>
      <c r="D10" s="150"/>
      <c r="E10" s="150"/>
      <c r="F10" s="150"/>
      <c r="G10" s="151"/>
      <c r="H10" s="53" t="s">
        <v>28</v>
      </c>
      <c r="I10" s="51" t="s">
        <v>29</v>
      </c>
      <c r="J10" s="52" t="s">
        <v>30</v>
      </c>
    </row>
    <row r="11" spans="1:26" ht="15" customHeight="1" thickBot="1" x14ac:dyDescent="0.3">
      <c r="A11" s="148"/>
      <c r="B11" s="152"/>
      <c r="C11" s="153"/>
      <c r="D11" s="153"/>
      <c r="E11" s="153"/>
      <c r="F11" s="153"/>
      <c r="G11" s="154"/>
      <c r="H11" s="11" t="str">
        <f>IF(J13&lt;20,"―",IF(G12&lt;0.95,-5,0)+(35*(SUM(H15*3,H16*2,H17,I15*3,I16*2,I17)/(3*SUM(H15:I19)))))</f>
        <v>―</v>
      </c>
      <c r="I11" s="12" t="str">
        <f>IF($H$11="―","Not Rated",VLOOKUP($H11,P$3:$Z$8,11,TRUE))</f>
        <v>Not Rated</v>
      </c>
      <c r="J11" s="13" t="str">
        <f>IF($H$11="―","Not Rated",VLOOKUP($H11,Q$3:$Z$8,10,TRUE))</f>
        <v>Not Rated</v>
      </c>
    </row>
    <row r="12" spans="1:26" ht="15" customHeight="1" x14ac:dyDescent="0.25">
      <c r="B12" s="16"/>
      <c r="C12" s="17"/>
      <c r="D12" s="17"/>
      <c r="E12" s="17"/>
      <c r="F12" s="18" t="s">
        <v>31</v>
      </c>
      <c r="G12" s="40" t="str">
        <f>IF(J13&lt;20,"―",SUM(H15:I18)/SUM(H15:I19))</f>
        <v>―</v>
      </c>
      <c r="H12" s="30" t="s">
        <v>6</v>
      </c>
      <c r="I12" s="30" t="s">
        <v>7</v>
      </c>
      <c r="J12" s="31" t="s">
        <v>10</v>
      </c>
    </row>
    <row r="13" spans="1:26" x14ac:dyDescent="0.25">
      <c r="B13" s="15"/>
      <c r="G13" s="7" t="s">
        <v>9</v>
      </c>
      <c r="H13" s="20">
        <f>SUM(H15:H19)</f>
        <v>0</v>
      </c>
      <c r="I13" s="20">
        <f>SUM(I15:I19)</f>
        <v>0</v>
      </c>
      <c r="J13" s="23">
        <f>SUM(H13:I13)</f>
        <v>0</v>
      </c>
    </row>
    <row r="14" spans="1:26" x14ac:dyDescent="0.25">
      <c r="B14" s="15"/>
      <c r="G14" s="7" t="s">
        <v>8</v>
      </c>
      <c r="H14" s="21" t="str">
        <f>IF(H13&lt;20,"―",SUM(H15:H16)/H13)</f>
        <v>―</v>
      </c>
      <c r="I14" s="21" t="str">
        <f>IF(I13&lt;20,"―",SUM(I15:I16)/I13)</f>
        <v>―</v>
      </c>
      <c r="J14" s="24" t="str">
        <f>IF(J13&lt;20,"―",SUM(J15:J16)/J13)</f>
        <v>―</v>
      </c>
    </row>
    <row r="15" spans="1:26" x14ac:dyDescent="0.25">
      <c r="B15" s="15"/>
      <c r="G15" s="8" t="s">
        <v>1</v>
      </c>
      <c r="H15" s="41"/>
      <c r="I15" s="1"/>
      <c r="J15" s="23" t="str">
        <f>IF(SUM(H15:I15)=0,"―",SUM(H15:I15))</f>
        <v>―</v>
      </c>
    </row>
    <row r="16" spans="1:26" x14ac:dyDescent="0.25">
      <c r="B16" s="15"/>
      <c r="G16" s="8" t="s">
        <v>4</v>
      </c>
      <c r="H16" s="4"/>
      <c r="I16" s="2"/>
      <c r="J16" s="23" t="str">
        <f t="shared" ref="J16:J19" si="2">IF(SUM(H16:I16)=0,"―",SUM(H16:I16))</f>
        <v>―</v>
      </c>
    </row>
    <row r="17" spans="1:10" x14ac:dyDescent="0.25">
      <c r="B17" s="15"/>
      <c r="G17" s="8" t="s">
        <v>3</v>
      </c>
      <c r="H17" s="4"/>
      <c r="I17" s="2"/>
      <c r="J17" s="23" t="str">
        <f t="shared" si="2"/>
        <v>―</v>
      </c>
    </row>
    <row r="18" spans="1:10" x14ac:dyDescent="0.25">
      <c r="B18" s="15"/>
      <c r="G18" s="8" t="s">
        <v>2</v>
      </c>
      <c r="H18" s="4"/>
      <c r="I18" s="2"/>
      <c r="J18" s="23" t="str">
        <f t="shared" si="2"/>
        <v>―</v>
      </c>
    </row>
    <row r="19" spans="1:10" x14ac:dyDescent="0.25">
      <c r="B19" s="15"/>
      <c r="G19" s="10" t="s">
        <v>5</v>
      </c>
      <c r="H19" s="6"/>
      <c r="I19" s="19"/>
      <c r="J19" s="32" t="str">
        <f t="shared" si="2"/>
        <v>―</v>
      </c>
    </row>
    <row r="20" spans="1:10" ht="15" customHeight="1" x14ac:dyDescent="0.25">
      <c r="B20" s="155" t="s">
        <v>48</v>
      </c>
      <c r="C20" s="156"/>
      <c r="D20" s="156"/>
      <c r="E20" s="156"/>
      <c r="F20" s="156"/>
      <c r="G20" s="156"/>
      <c r="H20" s="156"/>
      <c r="I20" s="156"/>
      <c r="J20" s="157"/>
    </row>
    <row r="21" spans="1:10" ht="15" customHeight="1" x14ac:dyDescent="0.25">
      <c r="B21" s="158"/>
      <c r="C21" s="159"/>
      <c r="D21" s="159"/>
      <c r="E21" s="159"/>
      <c r="F21" s="159"/>
      <c r="G21" s="159"/>
      <c r="H21" s="159"/>
      <c r="I21" s="159"/>
      <c r="J21" s="160"/>
    </row>
    <row r="22" spans="1:10" ht="15.75" customHeight="1" x14ac:dyDescent="0.25">
      <c r="B22" s="158"/>
      <c r="C22" s="159"/>
      <c r="D22" s="159"/>
      <c r="E22" s="159"/>
      <c r="F22" s="159"/>
      <c r="G22" s="159"/>
      <c r="H22" s="159"/>
      <c r="I22" s="159"/>
      <c r="J22" s="160"/>
    </row>
    <row r="23" spans="1:10" ht="15.75" customHeight="1" x14ac:dyDescent="0.25">
      <c r="B23" s="158"/>
      <c r="C23" s="159"/>
      <c r="D23" s="159"/>
      <c r="E23" s="159"/>
      <c r="F23" s="159"/>
      <c r="G23" s="159"/>
      <c r="H23" s="159"/>
      <c r="I23" s="159"/>
      <c r="J23" s="160"/>
    </row>
    <row r="24" spans="1:10" ht="15.75" customHeight="1" thickBot="1" x14ac:dyDescent="0.3">
      <c r="B24" s="158"/>
      <c r="C24" s="159"/>
      <c r="D24" s="159"/>
      <c r="E24" s="159"/>
      <c r="F24" s="159"/>
      <c r="G24" s="159"/>
      <c r="H24" s="159"/>
      <c r="I24" s="159"/>
      <c r="J24" s="160"/>
    </row>
    <row r="25" spans="1:10" x14ac:dyDescent="0.25">
      <c r="A25" s="148"/>
      <c r="B25" s="149" t="s">
        <v>27</v>
      </c>
      <c r="C25" s="150"/>
      <c r="D25" s="150"/>
      <c r="E25" s="150"/>
      <c r="F25" s="150"/>
      <c r="G25" s="151"/>
      <c r="H25" s="53" t="s">
        <v>28</v>
      </c>
      <c r="I25" s="51" t="s">
        <v>29</v>
      </c>
      <c r="J25" s="52" t="s">
        <v>30</v>
      </c>
    </row>
    <row r="26" spans="1:10" ht="15.75" thickBot="1" x14ac:dyDescent="0.3">
      <c r="A26" s="148"/>
      <c r="B26" s="152"/>
      <c r="C26" s="153"/>
      <c r="D26" s="153"/>
      <c r="E26" s="153"/>
      <c r="F26" s="153"/>
      <c r="G26" s="154"/>
      <c r="H26" s="11" t="str">
        <f>IF(SUM(D28,D39)&lt;20,"―",AVERAGE(J28,J39))</f>
        <v>―</v>
      </c>
      <c r="I26" s="12" t="str">
        <f>IF($H$26="―","Not Rated",VLOOKUP($H26,R$3:$Z$8,9,TRUE))</f>
        <v>Not Rated</v>
      </c>
      <c r="J26" s="13" t="str">
        <f>IF($H$26="―","Not Rated",VLOOKUP($H26,S$3:$Z$8,8,TRUE))</f>
        <v>Not Rated</v>
      </c>
    </row>
    <row r="27" spans="1:10" x14ac:dyDescent="0.25">
      <c r="B27" s="164" t="s">
        <v>6</v>
      </c>
      <c r="C27" s="165"/>
      <c r="D27" s="124" t="s">
        <v>143</v>
      </c>
      <c r="E27" s="124" t="s">
        <v>145</v>
      </c>
      <c r="F27" s="124" t="s">
        <v>146</v>
      </c>
      <c r="G27" s="128" t="s">
        <v>148</v>
      </c>
      <c r="H27" s="128" t="s">
        <v>147</v>
      </c>
      <c r="I27" s="124" t="s">
        <v>149</v>
      </c>
      <c r="J27" s="126" t="s">
        <v>157</v>
      </c>
    </row>
    <row r="28" spans="1:10" x14ac:dyDescent="0.25">
      <c r="B28" s="166"/>
      <c r="C28" s="167"/>
      <c r="D28" s="20">
        <f>SUM(G30:H35)</f>
        <v>0</v>
      </c>
      <c r="E28" s="21" t="str">
        <f>IF(D28&lt;20,"―",SUM(H30:H35)/D28)</f>
        <v>―</v>
      </c>
      <c r="F28" s="21" t="str">
        <f>IF(D28&lt;20,"―",SUM(I30:I35)/D28)</f>
        <v>―</v>
      </c>
      <c r="G28" s="129"/>
      <c r="H28" s="138" t="str">
        <f>IF(D28&lt;20,"―",MAX(MIN(7*(((SUM(H30:H35)+SUM(I30*2,I31*3,I32*5,I33*7,I34*10,I35*13)+SUM(J30*0.55,J31*0.9,J32*1.625,J33*2.45,J34*3.75,J35*5.2))/D28)-1),35),0))</f>
        <v>―</v>
      </c>
      <c r="I28" s="138" t="str">
        <f>IF(D28&lt;20,"―",MAX(MIN(F28*100*(35/65),35),0))</f>
        <v>―</v>
      </c>
      <c r="J28" s="127" t="str">
        <f>IF(D28&lt;20,"―",AVERAGE(G28:I28))</f>
        <v>―</v>
      </c>
    </row>
    <row r="29" spans="1:10" x14ac:dyDescent="0.25">
      <c r="B29" s="182" t="s">
        <v>41</v>
      </c>
      <c r="C29" s="183"/>
      <c r="D29" s="184"/>
      <c r="E29" s="184"/>
      <c r="F29" s="185"/>
      <c r="G29" s="119" t="s">
        <v>37</v>
      </c>
      <c r="H29" s="119" t="s">
        <v>38</v>
      </c>
      <c r="I29" s="119" t="s">
        <v>39</v>
      </c>
      <c r="J29" s="34" t="s">
        <v>40</v>
      </c>
    </row>
    <row r="30" spans="1:10" x14ac:dyDescent="0.25">
      <c r="B30" s="87"/>
      <c r="C30" s="85"/>
      <c r="D30" s="85"/>
      <c r="E30" s="85"/>
      <c r="F30" s="113" t="s">
        <v>32</v>
      </c>
      <c r="G30" s="123" t="s">
        <v>50</v>
      </c>
      <c r="H30" s="123" t="s">
        <v>50</v>
      </c>
      <c r="I30" s="123" t="s">
        <v>50</v>
      </c>
      <c r="J30" s="36" t="str">
        <f>IF(SUM(H30:I30)=0,"―",H30-I30)</f>
        <v>―</v>
      </c>
    </row>
    <row r="31" spans="1:10" x14ac:dyDescent="0.25">
      <c r="B31" s="15"/>
      <c r="F31" s="8" t="s">
        <v>155</v>
      </c>
      <c r="G31" s="39" t="s">
        <v>50</v>
      </c>
      <c r="H31" s="39" t="s">
        <v>50</v>
      </c>
      <c r="I31" s="39" t="s">
        <v>50</v>
      </c>
      <c r="J31" s="37" t="str">
        <f t="shared" ref="J31:J35" si="3">IF(SUM(H31:I31)=0,"―",H31-I31)</f>
        <v>―</v>
      </c>
    </row>
    <row r="32" spans="1:10" x14ac:dyDescent="0.25">
      <c r="B32" s="15"/>
      <c r="F32" s="8" t="s">
        <v>33</v>
      </c>
      <c r="G32" s="39" t="s">
        <v>50</v>
      </c>
      <c r="H32" s="39" t="s">
        <v>50</v>
      </c>
      <c r="I32" s="39" t="s">
        <v>50</v>
      </c>
      <c r="J32" s="37" t="str">
        <f t="shared" si="3"/>
        <v>―</v>
      </c>
    </row>
    <row r="33" spans="2:10" x14ac:dyDescent="0.25">
      <c r="B33" s="15"/>
      <c r="F33" s="8" t="s">
        <v>34</v>
      </c>
      <c r="G33" s="39" t="s">
        <v>50</v>
      </c>
      <c r="H33" s="39" t="s">
        <v>50</v>
      </c>
      <c r="I33" s="39" t="s">
        <v>50</v>
      </c>
      <c r="J33" s="37" t="str">
        <f t="shared" si="3"/>
        <v>―</v>
      </c>
    </row>
    <row r="34" spans="2:10" x14ac:dyDescent="0.25">
      <c r="B34" s="15"/>
      <c r="F34" s="8" t="s">
        <v>35</v>
      </c>
      <c r="G34" s="39" t="s">
        <v>50</v>
      </c>
      <c r="H34" s="39" t="s">
        <v>50</v>
      </c>
      <c r="I34" s="39" t="s">
        <v>50</v>
      </c>
      <c r="J34" s="37" t="str">
        <f t="shared" si="3"/>
        <v>―</v>
      </c>
    </row>
    <row r="35" spans="2:10" x14ac:dyDescent="0.25">
      <c r="B35" s="15"/>
      <c r="D35" s="139"/>
      <c r="E35" s="139"/>
      <c r="F35" s="8" t="s">
        <v>36</v>
      </c>
      <c r="G35" s="140" t="s">
        <v>50</v>
      </c>
      <c r="H35" s="140" t="s">
        <v>50</v>
      </c>
      <c r="I35" s="140" t="s">
        <v>50</v>
      </c>
      <c r="J35" s="141" t="str">
        <f t="shared" si="3"/>
        <v>―</v>
      </c>
    </row>
    <row r="36" spans="2:10" x14ac:dyDescent="0.25">
      <c r="B36" s="170" t="s">
        <v>164</v>
      </c>
      <c r="C36" s="171"/>
      <c r="D36" s="171"/>
      <c r="E36" s="171"/>
      <c r="F36" s="171"/>
      <c r="G36" s="171"/>
      <c r="H36" s="171"/>
      <c r="I36" s="171"/>
      <c r="J36" s="172"/>
    </row>
    <row r="37" spans="2:10" ht="15.75" thickBot="1" x14ac:dyDescent="0.3">
      <c r="B37" s="173"/>
      <c r="C37" s="174"/>
      <c r="D37" s="174"/>
      <c r="E37" s="174"/>
      <c r="F37" s="174"/>
      <c r="G37" s="174"/>
      <c r="H37" s="174"/>
      <c r="I37" s="174"/>
      <c r="J37" s="175"/>
    </row>
    <row r="38" spans="2:10" x14ac:dyDescent="0.25">
      <c r="B38" s="168" t="s">
        <v>158</v>
      </c>
      <c r="C38" s="169"/>
      <c r="D38" s="124" t="s">
        <v>144</v>
      </c>
      <c r="E38" s="125" t="s">
        <v>150</v>
      </c>
      <c r="F38" s="125" t="s">
        <v>151</v>
      </c>
      <c r="G38" s="125" t="s">
        <v>154</v>
      </c>
      <c r="H38" s="125" t="s">
        <v>152</v>
      </c>
      <c r="I38" s="124" t="s">
        <v>153</v>
      </c>
      <c r="J38" s="126" t="s">
        <v>156</v>
      </c>
    </row>
    <row r="39" spans="2:10" x14ac:dyDescent="0.25">
      <c r="B39" s="166"/>
      <c r="C39" s="167"/>
      <c r="D39" s="20">
        <f>SUM(G41:H46)</f>
        <v>0</v>
      </c>
      <c r="E39" s="21" t="str">
        <f>IF(SUM(D38:D39)=0,"―",SUM(H41:H46,H50:H55)/SUM($D39,$D48))</f>
        <v>―</v>
      </c>
      <c r="F39" s="21" t="str">
        <f>IF(SUM(D38:D39)=0,"―",SUM(I41:I46,I50:I55)/SUM($D39,$D48))</f>
        <v>―</v>
      </c>
      <c r="G39" s="129"/>
      <c r="H39" s="25" t="str">
        <f>IF(D39&lt;20,"―",MAX(MIN(7*(((SUM(H41:H46)+SUM(I41*2,I42*3,I43*5,I44*7,I45*10,I46*13)+SUM(J41*0.55,J42*0.9,J43*1.625,J44*2.45,J45*3.75,J46*5.2))/D39)-1),35),0))</f>
        <v>―</v>
      </c>
      <c r="I39" s="25" t="str">
        <f>IF(SUM(D38:D39)=0,"―",MAX(MIN(F39*100*(35/65),35),0))</f>
        <v>―</v>
      </c>
      <c r="J39" s="127" t="str">
        <f>IF(D39&lt;20,"―",AVERAGE(G39:I39))</f>
        <v>―</v>
      </c>
    </row>
    <row r="40" spans="2:10" x14ac:dyDescent="0.25">
      <c r="B40" s="186" t="s">
        <v>42</v>
      </c>
      <c r="C40" s="184"/>
      <c r="D40" s="184"/>
      <c r="E40" s="184"/>
      <c r="F40" s="185"/>
      <c r="G40" s="119" t="s">
        <v>43</v>
      </c>
      <c r="H40" s="119" t="s">
        <v>44</v>
      </c>
      <c r="I40" s="119" t="s">
        <v>45</v>
      </c>
      <c r="J40" s="34" t="s">
        <v>46</v>
      </c>
    </row>
    <row r="41" spans="2:10" x14ac:dyDescent="0.25">
      <c r="B41" s="87"/>
      <c r="C41" s="85"/>
      <c r="D41" s="85"/>
      <c r="E41" s="85"/>
      <c r="F41" s="113" t="s">
        <v>32</v>
      </c>
      <c r="G41" s="112"/>
      <c r="H41" s="27"/>
      <c r="I41" s="3"/>
      <c r="J41" s="36" t="str">
        <f t="shared" ref="J41:J46" si="4">IF(SUM(H41:I41)=0,"―",H41-I41)</f>
        <v>―</v>
      </c>
    </row>
    <row r="42" spans="2:10" x14ac:dyDescent="0.25">
      <c r="B42" s="15"/>
      <c r="F42" s="8" t="s">
        <v>155</v>
      </c>
      <c r="G42" s="112"/>
      <c r="H42" s="26"/>
      <c r="I42" s="5"/>
      <c r="J42" s="37" t="str">
        <f t="shared" si="4"/>
        <v>―</v>
      </c>
    </row>
    <row r="43" spans="2:10" x14ac:dyDescent="0.25">
      <c r="B43" s="15"/>
      <c r="F43" s="8" t="s">
        <v>33</v>
      </c>
      <c r="G43" s="112"/>
      <c r="H43" s="26"/>
      <c r="I43" s="5"/>
      <c r="J43" s="37" t="str">
        <f t="shared" si="4"/>
        <v>―</v>
      </c>
    </row>
    <row r="44" spans="2:10" x14ac:dyDescent="0.25">
      <c r="B44" s="15"/>
      <c r="F44" s="8" t="s">
        <v>34</v>
      </c>
      <c r="G44" s="112"/>
      <c r="H44" s="26"/>
      <c r="I44" s="5"/>
      <c r="J44" s="37" t="str">
        <f t="shared" si="4"/>
        <v>―</v>
      </c>
    </row>
    <row r="45" spans="2:10" x14ac:dyDescent="0.25">
      <c r="B45" s="15"/>
      <c r="F45" s="8" t="s">
        <v>35</v>
      </c>
      <c r="G45" s="112"/>
      <c r="H45" s="26"/>
      <c r="I45" s="5"/>
      <c r="J45" s="37" t="str">
        <f t="shared" si="4"/>
        <v>―</v>
      </c>
    </row>
    <row r="46" spans="2:10" x14ac:dyDescent="0.25">
      <c r="B46" s="35"/>
      <c r="C46" s="9"/>
      <c r="D46" s="9"/>
      <c r="E46" s="9"/>
      <c r="F46" s="10" t="s">
        <v>36</v>
      </c>
      <c r="G46" s="112"/>
      <c r="H46" s="26"/>
      <c r="I46" s="5"/>
      <c r="J46" s="38" t="str">
        <f t="shared" si="4"/>
        <v>―</v>
      </c>
    </row>
    <row r="47" spans="2:10" ht="15" customHeight="1" x14ac:dyDescent="0.25">
      <c r="B47" s="155" t="s">
        <v>159</v>
      </c>
      <c r="C47" s="156"/>
      <c r="D47" s="156"/>
      <c r="E47" s="156"/>
      <c r="F47" s="156"/>
      <c r="G47" s="156"/>
      <c r="H47" s="156"/>
      <c r="I47" s="156"/>
      <c r="J47" s="157"/>
    </row>
    <row r="48" spans="2:10" ht="15" customHeight="1" x14ac:dyDescent="0.25">
      <c r="B48" s="158"/>
      <c r="C48" s="159"/>
      <c r="D48" s="159"/>
      <c r="E48" s="159"/>
      <c r="F48" s="159"/>
      <c r="G48" s="159"/>
      <c r="H48" s="159"/>
      <c r="I48" s="159"/>
      <c r="J48" s="160"/>
    </row>
    <row r="49" spans="2:10" ht="15" customHeight="1" x14ac:dyDescent="0.25">
      <c r="B49" s="158"/>
      <c r="C49" s="159"/>
      <c r="D49" s="159"/>
      <c r="E49" s="159"/>
      <c r="F49" s="159"/>
      <c r="G49" s="159"/>
      <c r="H49" s="159"/>
      <c r="I49" s="159"/>
      <c r="J49" s="160"/>
    </row>
    <row r="50" spans="2:10" ht="15" customHeight="1" x14ac:dyDescent="0.25">
      <c r="B50" s="158"/>
      <c r="C50" s="159"/>
      <c r="D50" s="159"/>
      <c r="E50" s="159"/>
      <c r="F50" s="159"/>
      <c r="G50" s="159"/>
      <c r="H50" s="159"/>
      <c r="I50" s="159"/>
      <c r="J50" s="160"/>
    </row>
    <row r="51" spans="2:10" ht="15" customHeight="1" x14ac:dyDescent="0.25">
      <c r="B51" s="158"/>
      <c r="C51" s="159"/>
      <c r="D51" s="159"/>
      <c r="E51" s="159"/>
      <c r="F51" s="159"/>
      <c r="G51" s="159"/>
      <c r="H51" s="159"/>
      <c r="I51" s="159"/>
      <c r="J51" s="160"/>
    </row>
    <row r="52" spans="2:10" ht="15" customHeight="1" x14ac:dyDescent="0.25">
      <c r="B52" s="158"/>
      <c r="C52" s="159"/>
      <c r="D52" s="159"/>
      <c r="E52" s="159"/>
      <c r="F52" s="159"/>
      <c r="G52" s="159"/>
      <c r="H52" s="159"/>
      <c r="I52" s="159"/>
      <c r="J52" s="160"/>
    </row>
    <row r="53" spans="2:10" x14ac:dyDescent="0.25">
      <c r="B53" s="158"/>
      <c r="C53" s="159"/>
      <c r="D53" s="159"/>
      <c r="E53" s="159"/>
      <c r="F53" s="159"/>
      <c r="G53" s="159"/>
      <c r="H53" s="159"/>
      <c r="I53" s="159"/>
      <c r="J53" s="160"/>
    </row>
    <row r="54" spans="2:10" x14ac:dyDescent="0.25">
      <c r="B54" s="158"/>
      <c r="C54" s="159"/>
      <c r="D54" s="159"/>
      <c r="E54" s="159"/>
      <c r="F54" s="159"/>
      <c r="G54" s="159"/>
      <c r="H54" s="159"/>
      <c r="I54" s="159"/>
      <c r="J54" s="160"/>
    </row>
    <row r="55" spans="2:10" ht="15.75" thickBot="1" x14ac:dyDescent="0.3">
      <c r="B55" s="161"/>
      <c r="C55" s="162"/>
      <c r="D55" s="162"/>
      <c r="E55" s="162"/>
      <c r="F55" s="162"/>
      <c r="G55" s="162"/>
      <c r="H55" s="162"/>
      <c r="I55" s="162"/>
      <c r="J55" s="163"/>
    </row>
    <row r="56" spans="2:10" x14ac:dyDescent="0.25">
      <c r="B56" s="149" t="s">
        <v>47</v>
      </c>
      <c r="C56" s="150"/>
      <c r="D56" s="150"/>
      <c r="E56" s="150"/>
      <c r="F56" s="150"/>
      <c r="G56" s="151"/>
      <c r="H56" s="53" t="s">
        <v>28</v>
      </c>
      <c r="I56" s="51" t="s">
        <v>29</v>
      </c>
      <c r="J56" s="52" t="s">
        <v>30</v>
      </c>
    </row>
    <row r="57" spans="2:10" ht="15.75" thickBot="1" x14ac:dyDescent="0.3">
      <c r="B57" s="152"/>
      <c r="C57" s="153"/>
      <c r="D57" s="153"/>
      <c r="E57" s="153"/>
      <c r="F57" s="153"/>
      <c r="G57" s="154"/>
      <c r="H57" s="11" t="str">
        <f>IF(NOT(ISERROR(10*(SUM(J61*3,J62*2,J63)/(3*SUM(J61:J65))))),10*(SUM(J61*3,J62*2,J63)/(3*SUM(J61:J65))),"―")</f>
        <v>―</v>
      </c>
      <c r="I57" s="12" t="str">
        <f>IF(OR(ISERROR(VLOOKUP($H57,T$3:$Z$8,7,TRUE)),J59&lt;20),"Not Rated",VLOOKUP($H57,T$3:$Z$8,7,TRUE))</f>
        <v>Not Rated</v>
      </c>
      <c r="J57" s="13" t="str">
        <f>IF(OR(ISERROR(VLOOKUP($H57,U$3:$Z$8,6,TRUE)),J59&lt;20),"Not Rated",VLOOKUP($H57,U$3:$Z$8,6,TRUE))</f>
        <v>Not Rated</v>
      </c>
    </row>
    <row r="58" spans="2:10" x14ac:dyDescent="0.25">
      <c r="B58" s="224"/>
      <c r="C58" s="142"/>
      <c r="D58" s="142"/>
      <c r="E58" s="143"/>
      <c r="F58" s="142"/>
      <c r="G58" s="143"/>
      <c r="H58" s="223" t="s">
        <v>31</v>
      </c>
      <c r="I58" s="40" t="str">
        <f>IF(J59&lt;20,"―",SUM(J61:J64)/J59)</f>
        <v>―</v>
      </c>
      <c r="J58" s="225" t="s">
        <v>49</v>
      </c>
    </row>
    <row r="59" spans="2:10" x14ac:dyDescent="0.25">
      <c r="B59" s="15"/>
      <c r="C59" s="139"/>
      <c r="D59" s="139"/>
      <c r="E59" s="139"/>
      <c r="F59" s="139"/>
      <c r="G59" s="139"/>
      <c r="H59" s="139"/>
      <c r="I59" s="7" t="s">
        <v>9</v>
      </c>
      <c r="J59" s="226">
        <f>SUM(J61:J65)</f>
        <v>0</v>
      </c>
    </row>
    <row r="60" spans="2:10" x14ac:dyDescent="0.25">
      <c r="B60" s="15"/>
      <c r="C60" s="139"/>
      <c r="D60" s="139"/>
      <c r="E60" s="139"/>
      <c r="F60" s="139"/>
      <c r="G60" s="139"/>
      <c r="H60" s="139"/>
      <c r="I60" s="7" t="s">
        <v>8</v>
      </c>
      <c r="J60" s="227" t="str">
        <f>IF(NOT(ISERROR(SUM(J61:J62)/J59)),SUM(J61:J62)/J59,"―")</f>
        <v>―</v>
      </c>
    </row>
    <row r="61" spans="2:10" x14ac:dyDescent="0.25">
      <c r="B61" s="15"/>
      <c r="C61" s="139"/>
      <c r="D61" s="139"/>
      <c r="E61" s="139"/>
      <c r="F61" s="139"/>
      <c r="G61" s="139"/>
      <c r="H61" s="139"/>
      <c r="I61" s="8" t="s">
        <v>1</v>
      </c>
      <c r="J61" s="228"/>
    </row>
    <row r="62" spans="2:10" x14ac:dyDescent="0.25">
      <c r="B62" s="15"/>
      <c r="C62" s="139"/>
      <c r="D62" s="139"/>
      <c r="E62" s="139"/>
      <c r="F62" s="139"/>
      <c r="G62" s="139"/>
      <c r="H62" s="139"/>
      <c r="I62" s="8" t="s">
        <v>4</v>
      </c>
      <c r="J62" s="228"/>
    </row>
    <row r="63" spans="2:10" x14ac:dyDescent="0.25">
      <c r="B63" s="15"/>
      <c r="C63" s="139"/>
      <c r="D63" s="139"/>
      <c r="E63" s="139"/>
      <c r="F63" s="139"/>
      <c r="G63" s="139"/>
      <c r="H63" s="139"/>
      <c r="I63" s="8" t="s">
        <v>3</v>
      </c>
      <c r="J63" s="228"/>
    </row>
    <row r="64" spans="2:10" x14ac:dyDescent="0.25">
      <c r="B64" s="15"/>
      <c r="C64" s="139"/>
      <c r="D64" s="139"/>
      <c r="E64" s="139"/>
      <c r="F64" s="139"/>
      <c r="G64" s="139"/>
      <c r="H64" s="139"/>
      <c r="I64" s="8" t="s">
        <v>2</v>
      </c>
      <c r="J64" s="228"/>
    </row>
    <row r="65" spans="2:10" x14ac:dyDescent="0.25">
      <c r="B65" s="35"/>
      <c r="C65" s="9"/>
      <c r="D65" s="9"/>
      <c r="E65" s="139"/>
      <c r="F65" s="9"/>
      <c r="G65" s="139"/>
      <c r="H65" s="9"/>
      <c r="I65" s="10" t="s">
        <v>5</v>
      </c>
      <c r="J65" s="228"/>
    </row>
    <row r="66" spans="2:10" ht="15" customHeight="1" x14ac:dyDescent="0.25">
      <c r="B66" s="170" t="s">
        <v>139</v>
      </c>
      <c r="C66" s="171"/>
      <c r="D66" s="171"/>
      <c r="E66" s="171"/>
      <c r="F66" s="171"/>
      <c r="G66" s="171"/>
      <c r="H66" s="171"/>
      <c r="I66" s="171"/>
      <c r="J66" s="172"/>
    </row>
    <row r="67" spans="2:10" ht="15.75" thickBot="1" x14ac:dyDescent="0.3">
      <c r="B67" s="173"/>
      <c r="C67" s="174"/>
      <c r="D67" s="174"/>
      <c r="E67" s="174"/>
      <c r="F67" s="174"/>
      <c r="G67" s="174"/>
      <c r="H67" s="174"/>
      <c r="I67" s="174"/>
      <c r="J67" s="175"/>
    </row>
    <row r="68" spans="2:10" ht="14.45" customHeight="1" x14ac:dyDescent="0.25">
      <c r="B68" s="149" t="s">
        <v>51</v>
      </c>
      <c r="C68" s="150"/>
      <c r="D68" s="150"/>
      <c r="E68" s="150"/>
      <c r="F68" s="150"/>
      <c r="G68" s="151"/>
      <c r="H68" s="51" t="s">
        <v>28</v>
      </c>
      <c r="I68" s="51" t="s">
        <v>29</v>
      </c>
      <c r="J68" s="52" t="s">
        <v>30</v>
      </c>
    </row>
    <row r="69" spans="2:10" ht="15" customHeight="1" thickBot="1" x14ac:dyDescent="0.3">
      <c r="B69" s="152"/>
      <c r="C69" s="153"/>
      <c r="D69" s="153"/>
      <c r="E69" s="153"/>
      <c r="F69" s="153"/>
      <c r="G69" s="154"/>
      <c r="H69" s="14" t="str">
        <f>IF(H71&lt;20,"―",J70*10)</f>
        <v>―</v>
      </c>
      <c r="I69" s="12" t="str">
        <f>IF($H$69="―","Not Rated",VLOOKUP($H$69,V$3:$Z$8,5,TRUE))</f>
        <v>Not Rated</v>
      </c>
      <c r="J69" s="13" t="str">
        <f>IF($H$69="―","Not Rated",VLOOKUP($H$69,W$3:$Z$8,4,TRUE))</f>
        <v>Not Rated</v>
      </c>
    </row>
    <row r="70" spans="2:10" x14ac:dyDescent="0.25">
      <c r="B70" s="43"/>
      <c r="C70" s="44"/>
      <c r="D70" s="44"/>
      <c r="E70" s="44"/>
      <c r="F70" s="44"/>
      <c r="G70" s="82" t="s">
        <v>160</v>
      </c>
      <c r="H70" s="144"/>
      <c r="I70" s="145" t="s">
        <v>52</v>
      </c>
      <c r="J70" s="99" t="str">
        <f>IF(H71=0,"―",H70/H71)</f>
        <v>―</v>
      </c>
    </row>
    <row r="71" spans="2:10" ht="15.75" customHeight="1" x14ac:dyDescent="0.25">
      <c r="B71" s="15"/>
      <c r="G71" s="8" t="s">
        <v>161</v>
      </c>
      <c r="H71" s="26"/>
      <c r="I71" s="187" t="s">
        <v>162</v>
      </c>
      <c r="J71" s="157"/>
    </row>
    <row r="72" spans="2:10" ht="15.75" thickBot="1" x14ac:dyDescent="0.3">
      <c r="B72" s="47"/>
      <c r="C72" s="48"/>
      <c r="D72" s="48"/>
      <c r="E72" s="48"/>
      <c r="F72" s="48"/>
      <c r="G72" s="146" t="s">
        <v>163</v>
      </c>
      <c r="H72" s="49"/>
      <c r="I72" s="188"/>
      <c r="J72" s="163"/>
    </row>
    <row r="73" spans="2:10" x14ac:dyDescent="0.25">
      <c r="B73" s="149" t="s">
        <v>53</v>
      </c>
      <c r="C73" s="150"/>
      <c r="D73" s="150"/>
      <c r="E73" s="150"/>
      <c r="F73" s="150"/>
      <c r="G73" s="151"/>
      <c r="H73" s="53" t="s">
        <v>28</v>
      </c>
      <c r="I73" s="51" t="s">
        <v>29</v>
      </c>
      <c r="J73" s="52" t="s">
        <v>30</v>
      </c>
    </row>
    <row r="74" spans="2:10" ht="15.75" thickBot="1" x14ac:dyDescent="0.3">
      <c r="B74" s="152"/>
      <c r="C74" s="153"/>
      <c r="D74" s="153"/>
      <c r="E74" s="153"/>
      <c r="F74" s="153"/>
      <c r="G74" s="154"/>
      <c r="H74" s="50"/>
      <c r="I74" s="12" t="str">
        <f>IF(ISBLANK($H$74),"Not Rated",VLOOKUP($H74,X$3:$Z$8,3,TRUE))</f>
        <v>Not Rated</v>
      </c>
      <c r="J74" s="13" t="str">
        <f>IF(ISBLANK($H$74),"Not Rated",VLOOKUP($H74,Y$3:$Z$8,2,TRUE))</f>
        <v>Not Rated</v>
      </c>
    </row>
    <row r="75" spans="2:10" ht="15" customHeight="1" x14ac:dyDescent="0.25">
      <c r="B75" s="179" t="s">
        <v>67</v>
      </c>
      <c r="C75" s="180"/>
      <c r="D75" s="180"/>
      <c r="E75" s="180"/>
      <c r="F75" s="180"/>
      <c r="G75" s="180"/>
      <c r="H75" s="180"/>
      <c r="I75" s="180"/>
      <c r="J75" s="181"/>
    </row>
    <row r="76" spans="2:10" x14ac:dyDescent="0.25">
      <c r="B76" s="158"/>
      <c r="C76" s="159"/>
      <c r="D76" s="159"/>
      <c r="E76" s="159"/>
      <c r="F76" s="159"/>
      <c r="G76" s="159"/>
      <c r="H76" s="159"/>
      <c r="I76" s="159"/>
      <c r="J76" s="160"/>
    </row>
    <row r="77" spans="2:10" x14ac:dyDescent="0.25">
      <c r="B77" s="158"/>
      <c r="C77" s="159"/>
      <c r="D77" s="159"/>
      <c r="E77" s="159"/>
      <c r="F77" s="159"/>
      <c r="G77" s="159"/>
      <c r="H77" s="159"/>
      <c r="I77" s="159"/>
      <c r="J77" s="160"/>
    </row>
    <row r="78" spans="2:10" ht="15.75" thickBot="1" x14ac:dyDescent="0.3">
      <c r="B78" s="161"/>
      <c r="C78" s="162"/>
      <c r="D78" s="162"/>
      <c r="E78" s="162"/>
      <c r="F78" s="162"/>
      <c r="G78" s="162"/>
      <c r="H78" s="162"/>
      <c r="I78" s="162"/>
      <c r="J78" s="163"/>
    </row>
  </sheetData>
  <mergeCells count="20">
    <mergeCell ref="N2:Z2"/>
    <mergeCell ref="B73:G74"/>
    <mergeCell ref="B75:J78"/>
    <mergeCell ref="B2:J3"/>
    <mergeCell ref="H6:J9"/>
    <mergeCell ref="B10:G11"/>
    <mergeCell ref="B56:G57"/>
    <mergeCell ref="B66:J67"/>
    <mergeCell ref="B29:F29"/>
    <mergeCell ref="B40:F40"/>
    <mergeCell ref="B68:G69"/>
    <mergeCell ref="I71:J72"/>
    <mergeCell ref="A10:A11"/>
    <mergeCell ref="A25:A26"/>
    <mergeCell ref="B25:G26"/>
    <mergeCell ref="B20:J24"/>
    <mergeCell ref="B47:J55"/>
    <mergeCell ref="B27:C28"/>
    <mergeCell ref="B38:C39"/>
    <mergeCell ref="B36:J37"/>
  </mergeCells>
  <conditionalFormatting sqref="G12 I58">
    <cfRule type="cellIs" dxfId="3" priority="4" operator="between">
      <formula>0.000001</formula>
      <formula>0.9445</formula>
    </cfRule>
  </conditionalFormatting>
  <conditionalFormatting sqref="I41">
    <cfRule type="expression" dxfId="2" priority="2">
      <formula>"&gt;$H$37"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2" sqref="B2:J3"/>
    </sheetView>
  </sheetViews>
  <sheetFormatPr defaultRowHeight="15" x14ac:dyDescent="0.25"/>
  <cols>
    <col min="1" max="1" width="4.5703125" customWidth="1"/>
    <col min="2" max="7" width="12.28515625" customWidth="1"/>
    <col min="8" max="10" width="18.28515625" customWidth="1"/>
    <col min="11" max="11" width="4.5703125" customWidth="1"/>
    <col min="14" max="14" width="7.7109375" bestFit="1" customWidth="1"/>
    <col min="15" max="15" width="5.85546875" bestFit="1" customWidth="1"/>
    <col min="16" max="16" width="6.140625" bestFit="1" customWidth="1"/>
    <col min="17" max="17" width="5.85546875" bestFit="1" customWidth="1"/>
    <col min="18" max="18" width="6.7109375" bestFit="1" customWidth="1"/>
    <col min="19" max="19" width="5.28515625" bestFit="1" customWidth="1"/>
    <col min="20" max="20" width="7.140625" bestFit="1" customWidth="1"/>
    <col min="21" max="21" width="5.42578125" bestFit="1" customWidth="1"/>
    <col min="22" max="22" width="12.7109375" bestFit="1" customWidth="1"/>
  </cols>
  <sheetData>
    <row r="1" spans="1:22" ht="15.75" thickBot="1" x14ac:dyDescent="0.3"/>
    <row r="2" spans="1:22" ht="15" customHeight="1" thickBot="1" x14ac:dyDescent="0.3">
      <c r="B2" s="149" t="s">
        <v>165</v>
      </c>
      <c r="C2" s="150"/>
      <c r="D2" s="150"/>
      <c r="E2" s="150"/>
      <c r="F2" s="150"/>
      <c r="G2" s="150"/>
      <c r="H2" s="150"/>
      <c r="I2" s="150"/>
      <c r="J2" s="151"/>
      <c r="N2" s="176" t="s">
        <v>68</v>
      </c>
      <c r="O2" s="177"/>
      <c r="P2" s="177"/>
      <c r="Q2" s="177"/>
      <c r="R2" s="177"/>
      <c r="S2" s="177"/>
      <c r="T2" s="177"/>
      <c r="U2" s="177"/>
      <c r="V2" s="178"/>
    </row>
    <row r="3" spans="1:22" ht="15.75" customHeight="1" thickBot="1" x14ac:dyDescent="0.3">
      <c r="B3" s="152"/>
      <c r="C3" s="153"/>
      <c r="D3" s="153"/>
      <c r="E3" s="153"/>
      <c r="F3" s="153"/>
      <c r="G3" s="153"/>
      <c r="H3" s="153"/>
      <c r="I3" s="153"/>
      <c r="J3" s="154"/>
      <c r="N3" s="63" t="s">
        <v>69</v>
      </c>
      <c r="O3" s="77" t="s">
        <v>70</v>
      </c>
      <c r="P3" s="77" t="s">
        <v>71</v>
      </c>
      <c r="Q3" s="77" t="s">
        <v>74</v>
      </c>
      <c r="R3" s="77" t="s">
        <v>75</v>
      </c>
      <c r="S3" s="77" t="s">
        <v>76</v>
      </c>
      <c r="T3" s="77" t="s">
        <v>73</v>
      </c>
      <c r="U3" s="64" t="s">
        <v>72</v>
      </c>
      <c r="V3" s="68" t="s">
        <v>11</v>
      </c>
    </row>
    <row r="4" spans="1:22" ht="15.75" thickBot="1" x14ac:dyDescent="0.3">
      <c r="B4" s="28"/>
      <c r="C4" s="29"/>
      <c r="D4" s="107" t="s">
        <v>59</v>
      </c>
      <c r="E4" s="108" t="s">
        <v>60</v>
      </c>
      <c r="F4" s="109" t="s">
        <v>61</v>
      </c>
      <c r="G4" s="109" t="s">
        <v>142</v>
      </c>
      <c r="H4" s="212" t="s">
        <v>92</v>
      </c>
      <c r="I4" s="53" t="s">
        <v>62</v>
      </c>
      <c r="J4" s="52" t="s">
        <v>91</v>
      </c>
      <c r="N4" s="69">
        <v>0</v>
      </c>
      <c r="O4" s="78">
        <v>0</v>
      </c>
      <c r="P4" s="78">
        <v>0</v>
      </c>
      <c r="Q4" s="78">
        <v>0</v>
      </c>
      <c r="R4" s="78">
        <v>0</v>
      </c>
      <c r="S4" s="78">
        <v>0</v>
      </c>
      <c r="T4" s="78">
        <v>0</v>
      </c>
      <c r="U4" s="72">
        <v>0</v>
      </c>
      <c r="V4" s="66" t="s">
        <v>26</v>
      </c>
    </row>
    <row r="5" spans="1:22" ht="15.75" thickBot="1" x14ac:dyDescent="0.3">
      <c r="B5" s="15"/>
      <c r="C5" s="117" t="s">
        <v>55</v>
      </c>
      <c r="D5" s="120" t="str">
        <f>I13</f>
        <v>―</v>
      </c>
      <c r="E5" s="54">
        <v>25</v>
      </c>
      <c r="F5" s="58" t="str">
        <f>IF(D5="―","―",IF(D7="―",100-SUM(F6,F8:F11),E5+((SUM(E6,E8:E11)-SUM(F6,F8:F11))/2)))</f>
        <v>―</v>
      </c>
      <c r="G5" s="114" t="str">
        <f t="shared" ref="G5:G11" si="0">IF(D5="―","―",IF(E5=F5,D5,D5*(F5/E5)))</f>
        <v>―</v>
      </c>
      <c r="H5" s="213"/>
      <c r="I5" s="106" t="str">
        <f>IF(AND(D5="―",D7="―"),"―",SUM(G5:G11))</f>
        <v>―</v>
      </c>
      <c r="J5" s="13" t="str">
        <f>IF(I5="―","Not Rated",VLOOKUP(I5,N3:V8,9,TRUE))</f>
        <v>Not Rated</v>
      </c>
      <c r="N5" s="69">
        <v>39.5</v>
      </c>
      <c r="O5" s="78">
        <v>7.22</v>
      </c>
      <c r="P5" s="78">
        <v>2.42</v>
      </c>
      <c r="Q5" s="78">
        <v>7.6</v>
      </c>
      <c r="R5" s="78">
        <v>6.46</v>
      </c>
      <c r="S5" s="78">
        <v>4.8</v>
      </c>
      <c r="T5" s="78">
        <v>2</v>
      </c>
      <c r="U5" s="72">
        <v>2.3199999999999998</v>
      </c>
      <c r="V5" s="66" t="s">
        <v>25</v>
      </c>
    </row>
    <row r="6" spans="1:22" ht="15" customHeight="1" x14ac:dyDescent="0.25">
      <c r="B6" s="15"/>
      <c r="C6" s="117" t="s">
        <v>57</v>
      </c>
      <c r="D6" s="121" t="str">
        <f>I31</f>
        <v>―</v>
      </c>
      <c r="E6" s="55">
        <v>10</v>
      </c>
      <c r="F6" s="60" t="str">
        <f>IF(D6="―","―",E6)</f>
        <v>―</v>
      </c>
      <c r="G6" s="115" t="str">
        <f t="shared" si="0"/>
        <v>―</v>
      </c>
      <c r="H6" s="214" t="s">
        <v>140</v>
      </c>
      <c r="I6" s="215"/>
      <c r="J6" s="216"/>
      <c r="N6" s="69">
        <v>50.5</v>
      </c>
      <c r="O6" s="78">
        <v>10.220000000000001</v>
      </c>
      <c r="P6" s="78">
        <v>3.74</v>
      </c>
      <c r="Q6" s="78">
        <v>10.130000000000001</v>
      </c>
      <c r="R6" s="78">
        <v>9.5</v>
      </c>
      <c r="S6" s="78">
        <v>6.4</v>
      </c>
      <c r="T6" s="78">
        <v>4</v>
      </c>
      <c r="U6" s="72">
        <v>2.79</v>
      </c>
      <c r="V6" s="66" t="s">
        <v>24</v>
      </c>
    </row>
    <row r="7" spans="1:22" x14ac:dyDescent="0.25">
      <c r="B7" s="15"/>
      <c r="C7" s="117" t="s">
        <v>78</v>
      </c>
      <c r="D7" s="121" t="str">
        <f>I47</f>
        <v>―</v>
      </c>
      <c r="E7" s="55">
        <v>19</v>
      </c>
      <c r="F7" s="60" t="str">
        <f>IF(D7="―","―",IF(D5="―",100-SUM(F6,F8:F11),E7+((SUM(E6,E8:E11)-SUM(F6,F8:F11))/2)))</f>
        <v>―</v>
      </c>
      <c r="G7" s="115" t="str">
        <f t="shared" si="0"/>
        <v>―</v>
      </c>
      <c r="H7" s="217"/>
      <c r="I7" s="218"/>
      <c r="J7" s="219"/>
      <c r="N7" s="69">
        <v>59.5</v>
      </c>
      <c r="O7" s="78">
        <v>13.45</v>
      </c>
      <c r="P7" s="78">
        <v>5.3</v>
      </c>
      <c r="Q7" s="78">
        <v>12.67</v>
      </c>
      <c r="R7" s="78">
        <v>12.92</v>
      </c>
      <c r="S7" s="78">
        <v>8</v>
      </c>
      <c r="T7" s="78">
        <v>6</v>
      </c>
      <c r="U7" s="72">
        <v>3.4</v>
      </c>
      <c r="V7" s="66" t="s">
        <v>23</v>
      </c>
    </row>
    <row r="8" spans="1:22" ht="15.75" thickBot="1" x14ac:dyDescent="0.3">
      <c r="B8" s="15"/>
      <c r="C8" s="117" t="s">
        <v>79</v>
      </c>
      <c r="D8" s="121" t="str">
        <f>I52</f>
        <v>―</v>
      </c>
      <c r="E8" s="55">
        <v>19</v>
      </c>
      <c r="F8" s="60" t="str">
        <f>IF(D8="―","―",E8)</f>
        <v>―</v>
      </c>
      <c r="G8" s="115" t="str">
        <f t="shared" si="0"/>
        <v>―</v>
      </c>
      <c r="H8" s="217"/>
      <c r="I8" s="218"/>
      <c r="J8" s="219"/>
      <c r="N8" s="73">
        <v>66.5</v>
      </c>
      <c r="O8" s="79">
        <v>15.91</v>
      </c>
      <c r="P8" s="79">
        <v>6.2</v>
      </c>
      <c r="Q8" s="79">
        <v>15.2</v>
      </c>
      <c r="R8" s="79">
        <v>14.82</v>
      </c>
      <c r="S8" s="79">
        <v>9.6</v>
      </c>
      <c r="T8" s="79">
        <v>8</v>
      </c>
      <c r="U8" s="76">
        <v>3.76</v>
      </c>
      <c r="V8" s="67" t="s">
        <v>22</v>
      </c>
    </row>
    <row r="9" spans="1:22" x14ac:dyDescent="0.25">
      <c r="B9" s="15"/>
      <c r="C9" s="117" t="s">
        <v>77</v>
      </c>
      <c r="D9" s="121" t="str">
        <f>I67</f>
        <v>―</v>
      </c>
      <c r="E9" s="55">
        <v>12</v>
      </c>
      <c r="F9" s="60" t="str">
        <f>IF(D9="―","―",E9)</f>
        <v>―</v>
      </c>
      <c r="G9" s="115" t="str">
        <f t="shared" si="0"/>
        <v>―</v>
      </c>
      <c r="H9" s="217"/>
      <c r="I9" s="218"/>
      <c r="J9" s="219"/>
      <c r="L9" s="62"/>
    </row>
    <row r="10" spans="1:22" x14ac:dyDescent="0.25">
      <c r="B10" s="15"/>
      <c r="C10" s="117" t="s">
        <v>54</v>
      </c>
      <c r="D10" s="121" t="str">
        <f>I80</f>
        <v>―</v>
      </c>
      <c r="E10" s="55">
        <v>10</v>
      </c>
      <c r="F10" s="60" t="str">
        <f>IF(D10="―","―",E10)</f>
        <v>―</v>
      </c>
      <c r="G10" s="115" t="str">
        <f t="shared" si="0"/>
        <v>―</v>
      </c>
      <c r="H10" s="217"/>
      <c r="I10" s="218"/>
      <c r="J10" s="219"/>
    </row>
    <row r="11" spans="1:22" ht="15" customHeight="1" thickBot="1" x14ac:dyDescent="0.3">
      <c r="B11" s="47"/>
      <c r="C11" s="118" t="s">
        <v>58</v>
      </c>
      <c r="D11" s="122" t="str">
        <f>IF(ISBLANK(I85),"―",I85)</f>
        <v>―</v>
      </c>
      <c r="E11" s="56">
        <v>5</v>
      </c>
      <c r="F11" s="60" t="str">
        <f>IF(D11="―","―",E11)</f>
        <v>―</v>
      </c>
      <c r="G11" s="116" t="str">
        <f t="shared" si="0"/>
        <v>―</v>
      </c>
      <c r="H11" s="220"/>
      <c r="I11" s="221"/>
      <c r="J11" s="222"/>
    </row>
    <row r="12" spans="1:22" ht="15" customHeight="1" x14ac:dyDescent="0.25">
      <c r="A12" s="80"/>
      <c r="B12" s="149" t="s">
        <v>0</v>
      </c>
      <c r="C12" s="150"/>
      <c r="D12" s="150"/>
      <c r="E12" s="150"/>
      <c r="F12" s="150"/>
      <c r="G12" s="150"/>
      <c r="H12" s="151"/>
      <c r="I12" s="51" t="s">
        <v>28</v>
      </c>
      <c r="J12" s="52" t="s">
        <v>90</v>
      </c>
    </row>
    <row r="13" spans="1:22" ht="15" customHeight="1" thickBot="1" x14ac:dyDescent="0.3">
      <c r="A13" s="80"/>
      <c r="B13" s="152"/>
      <c r="C13" s="153"/>
      <c r="D13" s="153"/>
      <c r="E13" s="153"/>
      <c r="F13" s="153"/>
      <c r="G13" s="153"/>
      <c r="H13" s="154"/>
      <c r="I13" s="14" t="str">
        <f>IF(J15&lt;20,"―",IF(G14&lt;0.95,-5,0)+(25*(SUM(J17*4,J18*3,J19*2,J20)/SUM(3*J23,4*J24))))</f>
        <v>―</v>
      </c>
      <c r="J13" s="13" t="str">
        <f>IF($I$13="―","Not Rated",VLOOKUP($I13,O3:V8,8,TRUE))</f>
        <v>Not Rated</v>
      </c>
    </row>
    <row r="14" spans="1:22" ht="15" customHeight="1" x14ac:dyDescent="0.25">
      <c r="B14" s="92"/>
      <c r="C14" s="93"/>
      <c r="D14" s="93"/>
      <c r="E14" s="93"/>
      <c r="F14" s="94" t="s">
        <v>31</v>
      </c>
      <c r="G14" s="40" t="str">
        <f>IF(J15&lt;20,"―",SUM(H17:I21)/SUM(H17:I22))</f>
        <v>―</v>
      </c>
      <c r="H14" s="30" t="s">
        <v>80</v>
      </c>
      <c r="I14" s="30" t="s">
        <v>81</v>
      </c>
      <c r="J14" s="31" t="s">
        <v>10</v>
      </c>
    </row>
    <row r="15" spans="1:22" ht="15" customHeight="1" x14ac:dyDescent="0.25">
      <c r="B15" s="15"/>
      <c r="G15" s="7" t="s">
        <v>9</v>
      </c>
      <c r="H15" s="20">
        <f>SUM(H23:H24)</f>
        <v>0</v>
      </c>
      <c r="I15" s="20">
        <f>SUM(I23:I24)</f>
        <v>0</v>
      </c>
      <c r="J15" s="23">
        <f>SUM(J23:J24)</f>
        <v>0</v>
      </c>
    </row>
    <row r="16" spans="1:22" ht="15" customHeight="1" x14ac:dyDescent="0.25">
      <c r="B16" s="15"/>
      <c r="G16" s="7" t="s">
        <v>82</v>
      </c>
      <c r="H16" s="21" t="str">
        <f>IF(H15&lt;20,"―",SUM(H17:H19)/H15)</f>
        <v>―</v>
      </c>
      <c r="I16" s="21" t="str">
        <f>IF(I15&lt;20,"―",SUM(I17:I19)/I15)</f>
        <v>―</v>
      </c>
      <c r="J16" s="24" t="str">
        <f>IF(J15&lt;20,"―",SUM(J17:J19)/J15)</f>
        <v>―</v>
      </c>
    </row>
    <row r="17" spans="1:10" x14ac:dyDescent="0.25">
      <c r="B17" s="15"/>
      <c r="G17" s="8" t="s">
        <v>89</v>
      </c>
      <c r="H17" s="41"/>
      <c r="I17" s="1"/>
      <c r="J17" s="23">
        <f t="shared" ref="J17:J24" si="1">SUM(H17:I17)</f>
        <v>0</v>
      </c>
    </row>
    <row r="18" spans="1:10" x14ac:dyDescent="0.25">
      <c r="B18" s="15"/>
      <c r="G18" s="8" t="s">
        <v>83</v>
      </c>
      <c r="H18" s="4"/>
      <c r="I18" s="2"/>
      <c r="J18" s="23">
        <f t="shared" si="1"/>
        <v>0</v>
      </c>
    </row>
    <row r="19" spans="1:10" x14ac:dyDescent="0.25">
      <c r="B19" s="15"/>
      <c r="G19" s="8" t="s">
        <v>84</v>
      </c>
      <c r="H19" s="4"/>
      <c r="I19" s="2"/>
      <c r="J19" s="23">
        <f t="shared" ref="J19" si="2">SUM(H19:I19)</f>
        <v>0</v>
      </c>
    </row>
    <row r="20" spans="1:10" ht="15" customHeight="1" x14ac:dyDescent="0.25">
      <c r="B20" s="15"/>
      <c r="G20" s="8" t="s">
        <v>85</v>
      </c>
      <c r="H20" s="4"/>
      <c r="I20" s="2"/>
      <c r="J20" s="23">
        <f t="shared" si="1"/>
        <v>0</v>
      </c>
    </row>
    <row r="21" spans="1:10" ht="15" customHeight="1" x14ac:dyDescent="0.25">
      <c r="B21" s="15"/>
      <c r="G21" s="8" t="s">
        <v>86</v>
      </c>
      <c r="H21" s="4"/>
      <c r="I21" s="2"/>
      <c r="J21" s="23">
        <f t="shared" si="1"/>
        <v>0</v>
      </c>
    </row>
    <row r="22" spans="1:10" ht="15.75" customHeight="1" x14ac:dyDescent="0.25">
      <c r="B22" s="15"/>
      <c r="G22" s="8" t="s">
        <v>5</v>
      </c>
      <c r="H22" s="81"/>
      <c r="I22" s="19"/>
      <c r="J22" s="23">
        <f t="shared" si="1"/>
        <v>0</v>
      </c>
    </row>
    <row r="23" spans="1:10" ht="15.75" customHeight="1" x14ac:dyDescent="0.25">
      <c r="B23" s="15"/>
      <c r="G23" s="8" t="s">
        <v>87</v>
      </c>
      <c r="H23" s="81"/>
      <c r="I23" s="19"/>
      <c r="J23" s="32">
        <f t="shared" si="1"/>
        <v>0</v>
      </c>
    </row>
    <row r="24" spans="1:10" ht="15.75" customHeight="1" x14ac:dyDescent="0.25">
      <c r="B24" s="15"/>
      <c r="G24" s="10" t="s">
        <v>88</v>
      </c>
      <c r="H24" s="20">
        <f>SUM(H17:H22)-H23</f>
        <v>0</v>
      </c>
      <c r="I24" s="20">
        <f>SUM(I17:I22)-I23</f>
        <v>0</v>
      </c>
      <c r="J24" s="23">
        <f t="shared" si="1"/>
        <v>0</v>
      </c>
    </row>
    <row r="25" spans="1:10" x14ac:dyDescent="0.25">
      <c r="B25" s="155" t="s">
        <v>48</v>
      </c>
      <c r="C25" s="156"/>
      <c r="D25" s="156"/>
      <c r="E25" s="156"/>
      <c r="F25" s="156"/>
      <c r="G25" s="156"/>
      <c r="H25" s="156"/>
      <c r="I25" s="156"/>
      <c r="J25" s="157"/>
    </row>
    <row r="26" spans="1:10" x14ac:dyDescent="0.25">
      <c r="B26" s="158"/>
      <c r="C26" s="159"/>
      <c r="D26" s="159"/>
      <c r="E26" s="159"/>
      <c r="F26" s="159"/>
      <c r="G26" s="159"/>
      <c r="H26" s="159"/>
      <c r="I26" s="159"/>
      <c r="J26" s="160"/>
    </row>
    <row r="27" spans="1:10" x14ac:dyDescent="0.25">
      <c r="A27" s="148"/>
      <c r="B27" s="158"/>
      <c r="C27" s="159"/>
      <c r="D27" s="159"/>
      <c r="E27" s="159"/>
      <c r="F27" s="159"/>
      <c r="G27" s="159"/>
      <c r="H27" s="159"/>
      <c r="I27" s="159"/>
      <c r="J27" s="160"/>
    </row>
    <row r="28" spans="1:10" x14ac:dyDescent="0.25">
      <c r="A28" s="148"/>
      <c r="B28" s="158"/>
      <c r="C28" s="159"/>
      <c r="D28" s="159"/>
      <c r="E28" s="159"/>
      <c r="F28" s="159"/>
      <c r="G28" s="159"/>
      <c r="H28" s="159"/>
      <c r="I28" s="159"/>
      <c r="J28" s="160"/>
    </row>
    <row r="29" spans="1:10" ht="15.75" thickBot="1" x14ac:dyDescent="0.3">
      <c r="B29" s="158"/>
      <c r="C29" s="159"/>
      <c r="D29" s="159"/>
      <c r="E29" s="159"/>
      <c r="F29" s="159"/>
      <c r="G29" s="159"/>
      <c r="H29" s="159"/>
      <c r="I29" s="159"/>
      <c r="J29" s="160"/>
    </row>
    <row r="30" spans="1:10" ht="15" customHeight="1" x14ac:dyDescent="0.25">
      <c r="A30" s="80"/>
      <c r="B30" s="149" t="s">
        <v>47</v>
      </c>
      <c r="C30" s="150"/>
      <c r="D30" s="150"/>
      <c r="E30" s="150"/>
      <c r="F30" s="150"/>
      <c r="G30" s="150"/>
      <c r="H30" s="151"/>
      <c r="I30" s="51" t="s">
        <v>28</v>
      </c>
      <c r="J30" s="52" t="s">
        <v>90</v>
      </c>
    </row>
    <row r="31" spans="1:10" ht="15" customHeight="1" thickBot="1" x14ac:dyDescent="0.3">
      <c r="A31" s="80"/>
      <c r="B31" s="152"/>
      <c r="C31" s="153"/>
      <c r="D31" s="153"/>
      <c r="E31" s="153"/>
      <c r="F31" s="153"/>
      <c r="G31" s="153"/>
      <c r="H31" s="154"/>
      <c r="I31" s="14" t="str">
        <f>IF(J33&lt;20,"―",(10*(SUM(J35*4,J36*3,J37*2,J38)/SUM(3*J41,4*J42))))</f>
        <v>―</v>
      </c>
      <c r="J31" s="13" t="str">
        <f>IF($I$13="―","Not Rated",VLOOKUP($I31,P3:V8,7,TRUE))</f>
        <v>Not Rated</v>
      </c>
    </row>
    <row r="32" spans="1:10" ht="15" customHeight="1" x14ac:dyDescent="0.25">
      <c r="B32" s="92"/>
      <c r="C32" s="93"/>
      <c r="D32" s="93"/>
      <c r="E32" s="93"/>
      <c r="F32" s="94" t="s">
        <v>93</v>
      </c>
      <c r="G32" s="40" t="str">
        <f>IF(J33&lt;20,"―",SUM(I35:I39)/SUM(I35:I40))</f>
        <v>―</v>
      </c>
      <c r="H32" s="30" t="s">
        <v>94</v>
      </c>
      <c r="I32" s="30" t="s">
        <v>95</v>
      </c>
      <c r="J32" s="31" t="s">
        <v>10</v>
      </c>
    </row>
    <row r="33" spans="2:10" ht="15" customHeight="1" x14ac:dyDescent="0.25">
      <c r="B33" s="15"/>
      <c r="G33" s="7" t="s">
        <v>9</v>
      </c>
      <c r="H33" s="20">
        <f>SUM(H41:H42)</f>
        <v>0</v>
      </c>
      <c r="I33" s="20">
        <f>SUM(I41:I42)</f>
        <v>0</v>
      </c>
      <c r="J33" s="23">
        <f>SUM(J41:J42)</f>
        <v>0</v>
      </c>
    </row>
    <row r="34" spans="2:10" ht="15" customHeight="1" x14ac:dyDescent="0.25">
      <c r="B34" s="15"/>
      <c r="G34" s="7" t="s">
        <v>82</v>
      </c>
      <c r="H34" s="21" t="str">
        <f>IF(H33&lt;20,"―",SUM(H35:H37)/H33)</f>
        <v>―</v>
      </c>
      <c r="I34" s="21" t="str">
        <f>IF(I33&lt;20,"―",SUM(I35:I37)/I33)</f>
        <v>―</v>
      </c>
      <c r="J34" s="24" t="str">
        <f>IF(J33&lt;20,"―",SUM(J35:J37)/J33)</f>
        <v>―</v>
      </c>
    </row>
    <row r="35" spans="2:10" x14ac:dyDescent="0.25">
      <c r="B35" s="15"/>
      <c r="G35" s="8" t="s">
        <v>89</v>
      </c>
      <c r="H35" s="41"/>
      <c r="I35" s="1"/>
      <c r="J35" s="23">
        <f t="shared" ref="J35:J36" si="3">SUM(H35:I35)</f>
        <v>0</v>
      </c>
    </row>
    <row r="36" spans="2:10" x14ac:dyDescent="0.25">
      <c r="B36" s="15"/>
      <c r="G36" s="8" t="s">
        <v>83</v>
      </c>
      <c r="H36" s="4"/>
      <c r="I36" s="2"/>
      <c r="J36" s="23">
        <f t="shared" si="3"/>
        <v>0</v>
      </c>
    </row>
    <row r="37" spans="2:10" x14ac:dyDescent="0.25">
      <c r="B37" s="15"/>
      <c r="G37" s="8" t="s">
        <v>84</v>
      </c>
      <c r="H37" s="4"/>
      <c r="I37" s="2"/>
      <c r="J37" s="23">
        <f t="shared" ref="J37" si="4">SUM(H37:I37)</f>
        <v>0</v>
      </c>
    </row>
    <row r="38" spans="2:10" ht="15" customHeight="1" x14ac:dyDescent="0.25">
      <c r="B38" s="15"/>
      <c r="G38" s="8" t="s">
        <v>85</v>
      </c>
      <c r="H38" s="4"/>
      <c r="I38" s="2"/>
      <c r="J38" s="23">
        <f t="shared" ref="J38:J42" si="5">SUM(H38:I38)</f>
        <v>0</v>
      </c>
    </row>
    <row r="39" spans="2:10" ht="15" customHeight="1" x14ac:dyDescent="0.25">
      <c r="B39" s="15"/>
      <c r="G39" s="8" t="s">
        <v>86</v>
      </c>
      <c r="H39" s="4"/>
      <c r="I39" s="2"/>
      <c r="J39" s="23">
        <f t="shared" si="5"/>
        <v>0</v>
      </c>
    </row>
    <row r="40" spans="2:10" ht="15.75" customHeight="1" x14ac:dyDescent="0.25">
      <c r="B40" s="15"/>
      <c r="G40" s="8" t="s">
        <v>5</v>
      </c>
      <c r="H40" s="81"/>
      <c r="I40" s="19"/>
      <c r="J40" s="23">
        <f t="shared" si="5"/>
        <v>0</v>
      </c>
    </row>
    <row r="41" spans="2:10" ht="15.75" customHeight="1" x14ac:dyDescent="0.25">
      <c r="B41" s="15"/>
      <c r="G41" s="8" t="s">
        <v>87</v>
      </c>
      <c r="H41" s="81"/>
      <c r="I41" s="19"/>
      <c r="J41" s="32">
        <f t="shared" si="5"/>
        <v>0</v>
      </c>
    </row>
    <row r="42" spans="2:10" ht="15.75" customHeight="1" x14ac:dyDescent="0.25">
      <c r="B42" s="15"/>
      <c r="G42" s="10" t="s">
        <v>88</v>
      </c>
      <c r="H42" s="20">
        <f>SUM(H35:H40)-H41</f>
        <v>0</v>
      </c>
      <c r="I42" s="20">
        <f>SUM(I35:I40)-I41</f>
        <v>0</v>
      </c>
      <c r="J42" s="23">
        <f t="shared" si="5"/>
        <v>0</v>
      </c>
    </row>
    <row r="43" spans="2:10" ht="15" customHeight="1" x14ac:dyDescent="0.25">
      <c r="B43" s="155" t="s">
        <v>96</v>
      </c>
      <c r="C43" s="156"/>
      <c r="D43" s="156"/>
      <c r="E43" s="156"/>
      <c r="F43" s="156"/>
      <c r="G43" s="156"/>
      <c r="H43" s="156"/>
      <c r="I43" s="156"/>
      <c r="J43" s="157"/>
    </row>
    <row r="44" spans="2:10" x14ac:dyDescent="0.25">
      <c r="B44" s="158"/>
      <c r="C44" s="159"/>
      <c r="D44" s="159"/>
      <c r="E44" s="159"/>
      <c r="F44" s="159"/>
      <c r="G44" s="159"/>
      <c r="H44" s="159"/>
      <c r="I44" s="159"/>
      <c r="J44" s="160"/>
    </row>
    <row r="45" spans="2:10" ht="15.75" thickBot="1" x14ac:dyDescent="0.3">
      <c r="B45" s="161"/>
      <c r="C45" s="162"/>
      <c r="D45" s="162"/>
      <c r="E45" s="162"/>
      <c r="F45" s="162"/>
      <c r="G45" s="162"/>
      <c r="H45" s="162"/>
      <c r="I45" s="162"/>
      <c r="J45" s="163"/>
    </row>
    <row r="46" spans="2:10" ht="15" customHeight="1" x14ac:dyDescent="0.25">
      <c r="B46" s="149" t="s">
        <v>97</v>
      </c>
      <c r="C46" s="150"/>
      <c r="D46" s="150"/>
      <c r="E46" s="150"/>
      <c r="F46" s="150"/>
      <c r="G46" s="150"/>
      <c r="H46" s="151"/>
      <c r="I46" s="53" t="s">
        <v>28</v>
      </c>
      <c r="J46" s="52" t="s">
        <v>90</v>
      </c>
    </row>
    <row r="47" spans="2:10" ht="15.75" customHeight="1" thickBot="1" x14ac:dyDescent="0.3">
      <c r="B47" s="152"/>
      <c r="C47" s="153"/>
      <c r="D47" s="153"/>
      <c r="E47" s="153"/>
      <c r="F47" s="153"/>
      <c r="G47" s="153"/>
      <c r="H47" s="154"/>
      <c r="I47" s="11" t="str">
        <f>IF(H50&lt;20,"―",MAX(19*((H48-0.5)/0.5),0))</f>
        <v>―</v>
      </c>
      <c r="J47" s="13" t="str">
        <f>IF(I47="―","Not Rated",VLOOKUP(I47,Q3:V8,6,TRUE))</f>
        <v>Not Rated</v>
      </c>
    </row>
    <row r="48" spans="2:10" x14ac:dyDescent="0.25">
      <c r="B48" s="43"/>
      <c r="C48" s="44"/>
      <c r="D48" s="44"/>
      <c r="E48" s="44"/>
      <c r="F48" s="44"/>
      <c r="G48" s="45" t="s">
        <v>98</v>
      </c>
      <c r="H48" s="83" t="str">
        <f>IF(H50=0,"―",H49/H50)</f>
        <v>―</v>
      </c>
      <c r="I48" s="206" t="s">
        <v>100</v>
      </c>
      <c r="J48" s="207"/>
    </row>
    <row r="49" spans="2:10" x14ac:dyDescent="0.25">
      <c r="B49" s="15"/>
      <c r="G49" s="8" t="s">
        <v>99</v>
      </c>
      <c r="H49" s="42"/>
      <c r="I49" s="208"/>
      <c r="J49" s="209"/>
    </row>
    <row r="50" spans="2:10" ht="15.75" thickBot="1" x14ac:dyDescent="0.3">
      <c r="B50" s="15"/>
      <c r="G50" s="8" t="s">
        <v>138</v>
      </c>
      <c r="H50" s="49"/>
      <c r="I50" s="210"/>
      <c r="J50" s="211"/>
    </row>
    <row r="51" spans="2:10" ht="15" customHeight="1" x14ac:dyDescent="0.25">
      <c r="B51" s="149" t="s">
        <v>101</v>
      </c>
      <c r="C51" s="150"/>
      <c r="D51" s="150"/>
      <c r="E51" s="150"/>
      <c r="F51" s="150"/>
      <c r="G51" s="150"/>
      <c r="H51" s="151"/>
      <c r="I51" s="53" t="s">
        <v>28</v>
      </c>
      <c r="J51" s="52" t="s">
        <v>90</v>
      </c>
    </row>
    <row r="52" spans="2:10" ht="15.75" customHeight="1" thickBot="1" x14ac:dyDescent="0.3">
      <c r="B52" s="152"/>
      <c r="C52" s="153"/>
      <c r="D52" s="153"/>
      <c r="E52" s="153"/>
      <c r="F52" s="153"/>
      <c r="G52" s="153"/>
      <c r="H52" s="154"/>
      <c r="I52" s="11" t="str">
        <f>IF(OR(H50&lt;20,ISBLANK(J54)),"―",MAX(19*(J54/H50),0))</f>
        <v>―</v>
      </c>
      <c r="J52" s="13" t="str">
        <f>IF(I52="―","Not Rated",VLOOKUP(I52,R$3:$V$8,5,TRUE))</f>
        <v>Not Rated</v>
      </c>
    </row>
    <row r="53" spans="2:10" ht="15.75" customHeight="1" x14ac:dyDescent="0.25">
      <c r="B53" s="200" t="s">
        <v>108</v>
      </c>
      <c r="C53" s="189"/>
      <c r="D53" s="189"/>
      <c r="E53" s="189"/>
      <c r="F53" s="189"/>
      <c r="G53" s="189"/>
      <c r="H53" s="189"/>
      <c r="I53" s="189" t="s">
        <v>115</v>
      </c>
      <c r="J53" s="190"/>
    </row>
    <row r="54" spans="2:10" ht="15.75" customHeight="1" x14ac:dyDescent="0.25">
      <c r="B54" s="87"/>
      <c r="C54" s="85"/>
      <c r="D54" s="85"/>
      <c r="E54" s="85"/>
      <c r="F54" s="85"/>
      <c r="G54" s="86" t="s">
        <v>103</v>
      </c>
      <c r="H54" s="88"/>
      <c r="I54" s="192" t="s">
        <v>119</v>
      </c>
      <c r="J54" s="100"/>
    </row>
    <row r="55" spans="2:10" ht="15.75" customHeight="1" x14ac:dyDescent="0.25">
      <c r="B55" s="15"/>
      <c r="G55" s="22" t="s">
        <v>102</v>
      </c>
      <c r="H55" s="89"/>
      <c r="I55" s="193"/>
      <c r="J55" s="101" t="str">
        <f>IF(ISBLANK(H50),"―",J54/$H$50)</f>
        <v>―</v>
      </c>
    </row>
    <row r="56" spans="2:10" ht="15.75" customHeight="1" x14ac:dyDescent="0.25">
      <c r="B56" s="15"/>
      <c r="G56" s="22" t="s">
        <v>106</v>
      </c>
      <c r="H56" s="89"/>
      <c r="I56" s="192" t="s">
        <v>118</v>
      </c>
      <c r="J56" s="102"/>
    </row>
    <row r="57" spans="2:10" ht="15.75" customHeight="1" x14ac:dyDescent="0.25">
      <c r="B57" s="15"/>
      <c r="G57" s="22" t="s">
        <v>105</v>
      </c>
      <c r="H57" s="89"/>
      <c r="I57" s="193"/>
      <c r="J57" s="101" t="str">
        <f>IF(ISBLANK(H50),"―",J56/$H$50)</f>
        <v>―</v>
      </c>
    </row>
    <row r="58" spans="2:10" ht="15.75" customHeight="1" x14ac:dyDescent="0.25">
      <c r="B58" s="15"/>
      <c r="G58" s="22" t="s">
        <v>107</v>
      </c>
      <c r="H58" s="89"/>
      <c r="I58" s="192" t="s">
        <v>117</v>
      </c>
      <c r="J58" s="102"/>
    </row>
    <row r="59" spans="2:10" ht="15.75" customHeight="1" x14ac:dyDescent="0.25">
      <c r="B59" s="35"/>
      <c r="C59" s="9"/>
      <c r="D59" s="9"/>
      <c r="E59" s="9"/>
      <c r="F59" s="9"/>
      <c r="G59" s="33" t="s">
        <v>104</v>
      </c>
      <c r="H59" s="90"/>
      <c r="I59" s="193"/>
      <c r="J59" s="101" t="str">
        <f>IF(ISBLANK(H50),"―",J58/$H$50)</f>
        <v>―</v>
      </c>
    </row>
    <row r="60" spans="2:10" ht="15.75" customHeight="1" x14ac:dyDescent="0.25">
      <c r="B60" s="182" t="s">
        <v>114</v>
      </c>
      <c r="C60" s="183"/>
      <c r="D60" s="183"/>
      <c r="E60" s="183"/>
      <c r="F60" s="183"/>
      <c r="G60" s="183"/>
      <c r="H60" s="201"/>
      <c r="I60" s="192" t="s">
        <v>116</v>
      </c>
      <c r="J60" s="103"/>
    </row>
    <row r="61" spans="2:10" ht="15.75" customHeight="1" x14ac:dyDescent="0.25">
      <c r="B61" s="15"/>
      <c r="G61" s="22" t="s">
        <v>109</v>
      </c>
      <c r="H61" s="88"/>
      <c r="I61" s="193"/>
      <c r="J61" s="101" t="str">
        <f>IF(ISBLANK(H50),"―",J60/$H$50)</f>
        <v>―</v>
      </c>
    </row>
    <row r="62" spans="2:10" ht="15.75" customHeight="1" x14ac:dyDescent="0.25">
      <c r="B62" s="15"/>
      <c r="G62" s="22" t="s">
        <v>110</v>
      </c>
      <c r="H62" s="89"/>
      <c r="I62" s="191" t="s">
        <v>120</v>
      </c>
      <c r="J62" s="160"/>
    </row>
    <row r="63" spans="2:10" ht="15.75" customHeight="1" x14ac:dyDescent="0.25">
      <c r="B63" s="15"/>
      <c r="G63" s="22" t="s">
        <v>111</v>
      </c>
      <c r="H63" s="89"/>
      <c r="I63" s="191"/>
      <c r="J63" s="160"/>
    </row>
    <row r="64" spans="2:10" ht="15.75" customHeight="1" x14ac:dyDescent="0.25">
      <c r="B64" s="15"/>
      <c r="G64" s="22" t="s">
        <v>112</v>
      </c>
      <c r="H64" s="89"/>
      <c r="I64" s="191"/>
      <c r="J64" s="160"/>
    </row>
    <row r="65" spans="2:10" ht="15.75" customHeight="1" thickBot="1" x14ac:dyDescent="0.3">
      <c r="B65" s="47"/>
      <c r="C65" s="48"/>
      <c r="D65" s="48"/>
      <c r="E65" s="48"/>
      <c r="F65" s="48"/>
      <c r="G65" s="84" t="s">
        <v>113</v>
      </c>
      <c r="H65" s="91"/>
      <c r="I65" s="188"/>
      <c r="J65" s="163"/>
    </row>
    <row r="66" spans="2:10" ht="15.75" customHeight="1" x14ac:dyDescent="0.25">
      <c r="B66" s="149" t="s">
        <v>126</v>
      </c>
      <c r="C66" s="150"/>
      <c r="D66" s="150"/>
      <c r="E66" s="150"/>
      <c r="F66" s="150"/>
      <c r="G66" s="150"/>
      <c r="H66" s="151"/>
      <c r="I66" s="53" t="s">
        <v>28</v>
      </c>
      <c r="J66" s="52" t="s">
        <v>90</v>
      </c>
    </row>
    <row r="67" spans="2:10" ht="15.75" customHeight="1" thickBot="1" x14ac:dyDescent="0.3">
      <c r="B67" s="152"/>
      <c r="C67" s="153"/>
      <c r="D67" s="153"/>
      <c r="E67" s="153"/>
      <c r="F67" s="153"/>
      <c r="G67" s="153"/>
      <c r="H67" s="154"/>
      <c r="I67" s="11" t="str">
        <f>IF(G68&lt;20,"―",MAX(12*((J68-0.5)/0.5),0))</f>
        <v>―</v>
      </c>
      <c r="J67" s="13" t="str">
        <f>IF(I67="―","Not Rated",VLOOKUP(I67,$S$3:$V$8,4,TRUE))</f>
        <v>Not Rated</v>
      </c>
    </row>
    <row r="68" spans="2:10" ht="15.75" customHeight="1" x14ac:dyDescent="0.25">
      <c r="B68" s="134"/>
      <c r="C68" s="135"/>
      <c r="D68" s="135"/>
      <c r="F68" s="136" t="s">
        <v>131</v>
      </c>
      <c r="G68" s="137">
        <f>SUM(G71,J71,J74)</f>
        <v>0</v>
      </c>
      <c r="H68" s="97"/>
      <c r="I68" s="98" t="s">
        <v>130</v>
      </c>
      <c r="J68" s="99" t="str">
        <f>IF(ISERROR(SUM(G70,J70,J73)/G68),"―",SUM(G70,J70,J73)/G68)</f>
        <v>―</v>
      </c>
    </row>
    <row r="69" spans="2:10" ht="15.75" customHeight="1" x14ac:dyDescent="0.25">
      <c r="B69" s="202" t="s">
        <v>124</v>
      </c>
      <c r="C69" s="195"/>
      <c r="D69" s="195"/>
      <c r="E69" s="195"/>
      <c r="F69" s="195"/>
      <c r="G69" s="196"/>
      <c r="H69" s="203" t="s">
        <v>125</v>
      </c>
      <c r="I69" s="204"/>
      <c r="J69" s="205"/>
    </row>
    <row r="70" spans="2:10" ht="15.75" customHeight="1" x14ac:dyDescent="0.25">
      <c r="B70" s="15"/>
      <c r="F70" s="22" t="s">
        <v>121</v>
      </c>
      <c r="G70" s="130"/>
      <c r="H70" s="95"/>
      <c r="I70" s="22" t="s">
        <v>122</v>
      </c>
      <c r="J70" s="110"/>
    </row>
    <row r="71" spans="2:10" ht="15.75" customHeight="1" x14ac:dyDescent="0.25">
      <c r="B71" s="35"/>
      <c r="C71" s="9"/>
      <c r="D71" s="9"/>
      <c r="F71" s="33" t="s">
        <v>133</v>
      </c>
      <c r="G71" s="131"/>
      <c r="H71" s="96"/>
      <c r="I71" s="33" t="s">
        <v>134</v>
      </c>
      <c r="J71" s="111"/>
    </row>
    <row r="72" spans="2:10" ht="15.75" customHeight="1" x14ac:dyDescent="0.25">
      <c r="B72" s="194" t="s">
        <v>127</v>
      </c>
      <c r="C72" s="195"/>
      <c r="D72" s="195"/>
      <c r="E72" s="195"/>
      <c r="F72" s="195"/>
      <c r="G72" s="196"/>
      <c r="H72" s="197" t="s">
        <v>128</v>
      </c>
      <c r="I72" s="198"/>
      <c r="J72" s="199"/>
    </row>
    <row r="73" spans="2:10" ht="15.75" customHeight="1" x14ac:dyDescent="0.25">
      <c r="B73" s="15"/>
      <c r="F73" s="22" t="s">
        <v>123</v>
      </c>
      <c r="G73" s="132"/>
      <c r="H73" s="95"/>
      <c r="I73" s="22" t="s">
        <v>129</v>
      </c>
      <c r="J73" s="104"/>
    </row>
    <row r="74" spans="2:10" ht="15.75" customHeight="1" x14ac:dyDescent="0.25">
      <c r="B74" s="35"/>
      <c r="C74" s="9"/>
      <c r="D74" s="9"/>
      <c r="F74" s="33" t="s">
        <v>135</v>
      </c>
      <c r="G74" s="133"/>
      <c r="H74" s="96"/>
      <c r="I74" s="33" t="s">
        <v>136</v>
      </c>
      <c r="J74" s="105"/>
    </row>
    <row r="75" spans="2:10" ht="15" customHeight="1" x14ac:dyDescent="0.25">
      <c r="B75" s="155" t="s">
        <v>137</v>
      </c>
      <c r="C75" s="156"/>
      <c r="D75" s="156"/>
      <c r="E75" s="156"/>
      <c r="F75" s="156"/>
      <c r="G75" s="156"/>
      <c r="H75" s="156"/>
      <c r="I75" s="156"/>
      <c r="J75" s="157"/>
    </row>
    <row r="76" spans="2:10" ht="15" customHeight="1" x14ac:dyDescent="0.25">
      <c r="B76" s="158"/>
      <c r="C76" s="159"/>
      <c r="D76" s="159"/>
      <c r="E76" s="159"/>
      <c r="F76" s="159"/>
      <c r="G76" s="159"/>
      <c r="H76" s="159"/>
      <c r="I76" s="159"/>
      <c r="J76" s="160"/>
    </row>
    <row r="77" spans="2:10" ht="15" customHeight="1" x14ac:dyDescent="0.25">
      <c r="B77" s="158"/>
      <c r="C77" s="159"/>
      <c r="D77" s="159"/>
      <c r="E77" s="159"/>
      <c r="F77" s="159"/>
      <c r="G77" s="159"/>
      <c r="H77" s="159"/>
      <c r="I77" s="159"/>
      <c r="J77" s="160"/>
    </row>
    <row r="78" spans="2:10" ht="15.75" customHeight="1" thickBot="1" x14ac:dyDescent="0.3">
      <c r="B78" s="161"/>
      <c r="C78" s="162"/>
      <c r="D78" s="162"/>
      <c r="E78" s="162"/>
      <c r="F78" s="162"/>
      <c r="G78" s="162"/>
      <c r="H78" s="162"/>
      <c r="I78" s="162"/>
      <c r="J78" s="163"/>
    </row>
    <row r="79" spans="2:10" x14ac:dyDescent="0.25">
      <c r="B79" s="149" t="s">
        <v>51</v>
      </c>
      <c r="C79" s="150"/>
      <c r="D79" s="150"/>
      <c r="E79" s="150"/>
      <c r="F79" s="150"/>
      <c r="G79" s="150"/>
      <c r="H79" s="151"/>
      <c r="I79" s="53" t="s">
        <v>28</v>
      </c>
      <c r="J79" s="52" t="s">
        <v>90</v>
      </c>
    </row>
    <row r="80" spans="2:10" ht="15" customHeight="1" thickBot="1" x14ac:dyDescent="0.3">
      <c r="B80" s="152"/>
      <c r="C80" s="153"/>
      <c r="D80" s="153"/>
      <c r="E80" s="153"/>
      <c r="F80" s="153"/>
      <c r="G80" s="153"/>
      <c r="H80" s="154"/>
      <c r="I80" s="11" t="str">
        <f>IF(H82&lt;20,"―",J81*10)</f>
        <v>―</v>
      </c>
      <c r="J80" s="13" t="str">
        <f>IF(I80="―","Not Rated",VLOOKUP(I80,T3:V8,3,TRUE))</f>
        <v>Not Rated</v>
      </c>
    </row>
    <row r="81" spans="2:10" x14ac:dyDescent="0.25">
      <c r="B81" s="43"/>
      <c r="C81" s="44"/>
      <c r="D81" s="44"/>
      <c r="E81" s="44"/>
      <c r="F81" s="44"/>
      <c r="G81" s="82" t="s">
        <v>160</v>
      </c>
      <c r="H81" s="42"/>
      <c r="I81" s="147" t="s">
        <v>52</v>
      </c>
      <c r="J81" s="46" t="str">
        <f>IF(H82=0,"―",H81/H82)</f>
        <v>―</v>
      </c>
    </row>
    <row r="82" spans="2:10" ht="15.75" customHeight="1" x14ac:dyDescent="0.25">
      <c r="B82" s="15"/>
      <c r="G82" s="8" t="s">
        <v>161</v>
      </c>
      <c r="H82" s="26"/>
      <c r="I82" s="187" t="s">
        <v>162</v>
      </c>
      <c r="J82" s="157"/>
    </row>
    <row r="83" spans="2:10" ht="15.75" customHeight="1" thickBot="1" x14ac:dyDescent="0.3">
      <c r="B83" s="47"/>
      <c r="C83" s="48"/>
      <c r="D83" s="48"/>
      <c r="E83" s="48"/>
      <c r="F83" s="48"/>
      <c r="G83" s="146" t="s">
        <v>163</v>
      </c>
      <c r="H83" s="49"/>
      <c r="I83" s="188"/>
      <c r="J83" s="163"/>
    </row>
    <row r="84" spans="2:10" x14ac:dyDescent="0.25">
      <c r="B84" s="149" t="s">
        <v>53</v>
      </c>
      <c r="C84" s="150"/>
      <c r="D84" s="150"/>
      <c r="E84" s="150"/>
      <c r="F84" s="150"/>
      <c r="G84" s="150"/>
      <c r="H84" s="151"/>
      <c r="I84" s="53" t="s">
        <v>28</v>
      </c>
      <c r="J84" s="52" t="s">
        <v>90</v>
      </c>
    </row>
    <row r="85" spans="2:10" ht="15.75" thickBot="1" x14ac:dyDescent="0.3">
      <c r="B85" s="152"/>
      <c r="C85" s="153"/>
      <c r="D85" s="153"/>
      <c r="E85" s="153"/>
      <c r="F85" s="153"/>
      <c r="G85" s="153"/>
      <c r="H85" s="154"/>
      <c r="I85" s="50"/>
      <c r="J85" s="13" t="str">
        <f>IF(ISBLANK($I$85),"Not Rated",VLOOKUP(I85,U$3:$V$8,2,TRUE))</f>
        <v>Not Rated</v>
      </c>
    </row>
    <row r="86" spans="2:10" x14ac:dyDescent="0.25">
      <c r="B86" s="179" t="s">
        <v>67</v>
      </c>
      <c r="C86" s="180"/>
      <c r="D86" s="180"/>
      <c r="E86" s="180"/>
      <c r="F86" s="180"/>
      <c r="G86" s="180"/>
      <c r="H86" s="180"/>
      <c r="I86" s="180"/>
      <c r="J86" s="181"/>
    </row>
    <row r="87" spans="2:10" x14ac:dyDescent="0.25">
      <c r="B87" s="158"/>
      <c r="C87" s="159"/>
      <c r="D87" s="159"/>
      <c r="E87" s="159"/>
      <c r="F87" s="159"/>
      <c r="G87" s="159"/>
      <c r="H87" s="159"/>
      <c r="I87" s="159"/>
      <c r="J87" s="160"/>
    </row>
    <row r="88" spans="2:10" x14ac:dyDescent="0.25">
      <c r="B88" s="158"/>
      <c r="C88" s="159"/>
      <c r="D88" s="159"/>
      <c r="E88" s="159"/>
      <c r="F88" s="159"/>
      <c r="G88" s="159"/>
      <c r="H88" s="159"/>
      <c r="I88" s="159"/>
      <c r="J88" s="160"/>
    </row>
    <row r="89" spans="2:10" ht="15.75" thickBot="1" x14ac:dyDescent="0.3">
      <c r="B89" s="161"/>
      <c r="C89" s="162"/>
      <c r="D89" s="162"/>
      <c r="E89" s="162"/>
      <c r="F89" s="162"/>
      <c r="G89" s="162"/>
      <c r="H89" s="162"/>
      <c r="I89" s="162"/>
      <c r="J89" s="163"/>
    </row>
    <row r="92" spans="2:10" x14ac:dyDescent="0.25">
      <c r="E92" s="22"/>
    </row>
    <row r="93" spans="2:10" x14ac:dyDescent="0.25">
      <c r="E93" s="22"/>
    </row>
    <row r="95" spans="2:10" x14ac:dyDescent="0.25">
      <c r="H95" s="22"/>
    </row>
    <row r="96" spans="2:10" x14ac:dyDescent="0.25">
      <c r="H96" s="22"/>
    </row>
    <row r="97" spans="8:8" x14ac:dyDescent="0.25">
      <c r="H97" s="22"/>
    </row>
    <row r="98" spans="8:8" x14ac:dyDescent="0.25">
      <c r="H98" s="22"/>
    </row>
    <row r="99" spans="8:8" x14ac:dyDescent="0.25">
      <c r="H99" s="22"/>
    </row>
    <row r="100" spans="8:8" x14ac:dyDescent="0.25">
      <c r="H100" s="22"/>
    </row>
  </sheetData>
  <mergeCells count="30">
    <mergeCell ref="B2:J3"/>
    <mergeCell ref="N2:V2"/>
    <mergeCell ref="B25:J29"/>
    <mergeCell ref="A27:A28"/>
    <mergeCell ref="H4:H5"/>
    <mergeCell ref="H6:J11"/>
    <mergeCell ref="B12:H13"/>
    <mergeCell ref="B30:H31"/>
    <mergeCell ref="B53:H53"/>
    <mergeCell ref="B60:H60"/>
    <mergeCell ref="B66:H67"/>
    <mergeCell ref="B69:G69"/>
    <mergeCell ref="H69:J69"/>
    <mergeCell ref="B51:H52"/>
    <mergeCell ref="B43:J45"/>
    <mergeCell ref="B46:H47"/>
    <mergeCell ref="I48:J50"/>
    <mergeCell ref="B86:J89"/>
    <mergeCell ref="B84:H85"/>
    <mergeCell ref="I53:J53"/>
    <mergeCell ref="I62:J65"/>
    <mergeCell ref="I54:I55"/>
    <mergeCell ref="I56:I57"/>
    <mergeCell ref="I58:I59"/>
    <mergeCell ref="I60:I61"/>
    <mergeCell ref="B79:H80"/>
    <mergeCell ref="B75:J78"/>
    <mergeCell ref="B72:G72"/>
    <mergeCell ref="H72:J72"/>
    <mergeCell ref="I82:J83"/>
  </mergeCells>
  <conditionalFormatting sqref="G14">
    <cfRule type="cellIs" dxfId="1" priority="3" operator="lessThan">
      <formula>0.95</formula>
    </cfRule>
  </conditionalFormatting>
  <conditionalFormatting sqref="G32">
    <cfRule type="cellIs" dxfId="0" priority="2"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2024-11-18T18:26:36Z</dcterms:modified>
</cp:coreProperties>
</file>