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lavery\Dropbox\! Atatchments\"/>
    </mc:Choice>
  </mc:AlternateContent>
  <xr:revisionPtr revIDLastSave="0" documentId="8_{BCD055D8-39FA-4F18-A82A-B9E0D77606DA}" xr6:coauthVersionLast="47" xr6:coauthVersionMax="47" xr10:uidLastSave="{00000000-0000-0000-0000-000000000000}"/>
  <bookViews>
    <workbookView xWindow="2475" yWindow="3330" windowWidth="21600" windowHeight="11295" xr2:uid="{B802F622-7499-43AC-8303-C529ADDA0FCA}"/>
  </bookViews>
  <sheets>
    <sheet name="Elementary &amp; Middle Schools" sheetId="1" r:id="rId1"/>
    <sheet name="High School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I57" i="1" s="1"/>
  <c r="J28" i="1"/>
  <c r="H26" i="1" s="1"/>
  <c r="I28" i="1"/>
  <c r="H28" i="1"/>
  <c r="D28" i="1"/>
  <c r="J33" i="1" s="1"/>
  <c r="I80" i="2"/>
  <c r="J81" i="2"/>
  <c r="H69" i="1"/>
  <c r="J69" i="1" s="1"/>
  <c r="J70" i="1"/>
  <c r="J57" i="1" l="1"/>
  <c r="J35" i="1"/>
  <c r="J31" i="1"/>
  <c r="J30" i="1"/>
  <c r="J32" i="1"/>
  <c r="J34" i="1"/>
  <c r="I69" i="1"/>
  <c r="J74" i="1" l="1"/>
  <c r="I74" i="1"/>
  <c r="D11" i="2" l="1"/>
  <c r="G11" i="2" s="1"/>
  <c r="D8" i="1" l="1"/>
  <c r="D10" i="2"/>
  <c r="F11" i="2"/>
  <c r="J19" i="1"/>
  <c r="J18" i="1"/>
  <c r="J17" i="1"/>
  <c r="J16" i="1"/>
  <c r="J15" i="1"/>
  <c r="D39" i="1"/>
  <c r="G68" i="2"/>
  <c r="J68" i="2" s="1"/>
  <c r="J61" i="2"/>
  <c r="J59" i="2"/>
  <c r="J57" i="2"/>
  <c r="J55" i="2"/>
  <c r="J85" i="2"/>
  <c r="I52" i="2"/>
  <c r="H48" i="2"/>
  <c r="I47" i="2" s="1"/>
  <c r="D7" i="2" s="1"/>
  <c r="F7" i="2" s="1"/>
  <c r="I42" i="2"/>
  <c r="I33" i="2" s="1"/>
  <c r="I34" i="2" s="1"/>
  <c r="H42" i="2"/>
  <c r="H33" i="2" s="1"/>
  <c r="H34" i="2" s="1"/>
  <c r="J41" i="2"/>
  <c r="J40" i="2"/>
  <c r="J39" i="2"/>
  <c r="J38" i="2"/>
  <c r="J37" i="2"/>
  <c r="J36" i="2"/>
  <c r="J35" i="2"/>
  <c r="J46" i="1" l="1"/>
  <c r="J43" i="1"/>
  <c r="J45" i="1"/>
  <c r="J42" i="1"/>
  <c r="J41" i="1"/>
  <c r="J44" i="1"/>
  <c r="F28" i="1"/>
  <c r="E28" i="1"/>
  <c r="F39" i="1"/>
  <c r="I39" i="1" s="1"/>
  <c r="E39" i="1"/>
  <c r="F10" i="2"/>
  <c r="G10" i="2" s="1"/>
  <c r="J52" i="2"/>
  <c r="D8" i="2"/>
  <c r="G7" i="2"/>
  <c r="I67" i="2"/>
  <c r="D9" i="2" s="1"/>
  <c r="J47" i="2"/>
  <c r="J42" i="2"/>
  <c r="J33" i="2" s="1"/>
  <c r="G32" i="2" s="1"/>
  <c r="I24" i="2"/>
  <c r="I15" i="2" s="1"/>
  <c r="I16" i="2" s="1"/>
  <c r="H24" i="2"/>
  <c r="J23" i="2"/>
  <c r="J22" i="2"/>
  <c r="J19" i="2"/>
  <c r="J21" i="2"/>
  <c r="J20" i="2"/>
  <c r="J18" i="2"/>
  <c r="J17" i="2"/>
  <c r="D9" i="1"/>
  <c r="J59" i="1"/>
  <c r="I58" i="1" s="1"/>
  <c r="I13" i="1"/>
  <c r="I14" i="1" s="1"/>
  <c r="H13" i="1"/>
  <c r="H14" i="1" s="1"/>
  <c r="H39" i="1" l="1"/>
  <c r="J60" i="1"/>
  <c r="G9" i="2"/>
  <c r="F9" i="2"/>
  <c r="G8" i="2"/>
  <c r="F8" i="2"/>
  <c r="F9" i="1"/>
  <c r="G9" i="1"/>
  <c r="H15" i="2"/>
  <c r="H16" i="2" s="1"/>
  <c r="J67" i="2"/>
  <c r="J34" i="2"/>
  <c r="I31" i="2"/>
  <c r="D6" i="2" s="1"/>
  <c r="J24" i="2"/>
  <c r="J15" i="2" s="1"/>
  <c r="D7" i="1"/>
  <c r="J13" i="1"/>
  <c r="J39" i="1" l="1"/>
  <c r="G6" i="2"/>
  <c r="F6" i="2"/>
  <c r="F7" i="1"/>
  <c r="G7" i="1" s="1"/>
  <c r="G12" i="1"/>
  <c r="H11" i="1" s="1"/>
  <c r="J14" i="1"/>
  <c r="J80" i="2"/>
  <c r="G14" i="2"/>
  <c r="I13" i="2" s="1"/>
  <c r="J16" i="2"/>
  <c r="I26" i="1" l="1"/>
  <c r="J26" i="1"/>
  <c r="J11" i="1"/>
  <c r="I11" i="1"/>
  <c r="J31" i="2"/>
  <c r="D5" i="2"/>
  <c r="F8" i="1"/>
  <c r="G8" i="1"/>
  <c r="D6" i="1"/>
  <c r="J13" i="2"/>
  <c r="D5" i="1"/>
  <c r="J5" i="1" l="1"/>
  <c r="I5" i="1"/>
  <c r="F5" i="2"/>
  <c r="I5" i="2"/>
  <c r="J5" i="2" s="1"/>
  <c r="G5" i="2"/>
  <c r="H5" i="1"/>
  <c r="G5" i="1"/>
  <c r="F6" i="1"/>
  <c r="F5" i="1" s="1"/>
  <c r="G6" i="1" l="1"/>
</calcChain>
</file>

<file path=xl/sharedStrings.xml><?xml version="1.0" encoding="utf-8"?>
<sst xmlns="http://schemas.openxmlformats.org/spreadsheetml/2006/main" count="247" uniqueCount="166">
  <si>
    <t>Academic Achievement</t>
  </si>
  <si>
    <r>
      <t xml:space="preserve">Number Projected for </t>
    </r>
    <r>
      <rPr>
        <i/>
        <sz val="11"/>
        <color theme="1"/>
        <rFont val="Calibri"/>
        <family val="2"/>
        <scheme val="minor"/>
      </rPr>
      <t>Exceeds Expectations</t>
    </r>
    <r>
      <rPr>
        <sz val="11"/>
        <color theme="1"/>
        <rFont val="Calibri"/>
        <family val="2"/>
        <scheme val="minor"/>
      </rPr>
      <t>:</t>
    </r>
  </si>
  <si>
    <r>
      <t xml:space="preserve">Number Projected for </t>
    </r>
    <r>
      <rPr>
        <i/>
        <sz val="11"/>
        <color theme="1"/>
        <rFont val="Calibri"/>
        <family val="2"/>
        <scheme val="minor"/>
      </rPr>
      <t>Does Not Meet Expectations</t>
    </r>
    <r>
      <rPr>
        <sz val="11"/>
        <color theme="1"/>
        <rFont val="Calibri"/>
        <family val="2"/>
        <scheme val="minor"/>
      </rPr>
      <t>:</t>
    </r>
  </si>
  <si>
    <r>
      <t xml:space="preserve">Number Projected for </t>
    </r>
    <r>
      <rPr>
        <i/>
        <sz val="11"/>
        <color theme="1"/>
        <rFont val="Calibri"/>
        <family val="2"/>
        <scheme val="minor"/>
      </rPr>
      <t>Approches Expectations</t>
    </r>
    <r>
      <rPr>
        <sz val="11"/>
        <color theme="1"/>
        <rFont val="Calibri"/>
        <family val="2"/>
        <scheme val="minor"/>
      </rPr>
      <t>:</t>
    </r>
  </si>
  <si>
    <r>
      <t xml:space="preserve">Number Projected for </t>
    </r>
    <r>
      <rPr>
        <i/>
        <sz val="11"/>
        <color theme="1"/>
        <rFont val="Calibri"/>
        <family val="2"/>
        <scheme val="minor"/>
      </rPr>
      <t>Meets Expectations</t>
    </r>
    <r>
      <rPr>
        <sz val="11"/>
        <color theme="1"/>
        <rFont val="Calibri"/>
        <family val="2"/>
        <scheme val="minor"/>
      </rPr>
      <t>:</t>
    </r>
  </si>
  <si>
    <r>
      <t xml:space="preserve">Number Projected for </t>
    </r>
    <r>
      <rPr>
        <i/>
        <sz val="11"/>
        <color theme="1"/>
        <rFont val="Calibri"/>
        <family val="2"/>
        <scheme val="minor"/>
      </rPr>
      <t>Not Tested</t>
    </r>
    <r>
      <rPr>
        <sz val="11"/>
        <color theme="1"/>
        <rFont val="Calibri"/>
        <family val="2"/>
        <scheme val="minor"/>
      </rPr>
      <t>:</t>
    </r>
  </si>
  <si>
    <t>ELA</t>
  </si>
  <si>
    <t>Math</t>
  </si>
  <si>
    <t>Percent who Meet or Exceed Expectations:</t>
  </si>
  <si>
    <t>Number Included in the Indicator:</t>
  </si>
  <si>
    <t>Combined</t>
  </si>
  <si>
    <t>Rating</t>
  </si>
  <si>
    <t>AAES</t>
  </si>
  <si>
    <t>AAMS</t>
  </si>
  <si>
    <t>PfSES</t>
  </si>
  <si>
    <t>PfSMS</t>
  </si>
  <si>
    <t>MLPES</t>
  </si>
  <si>
    <t>MLPMS</t>
  </si>
  <si>
    <t>SPES</t>
  </si>
  <si>
    <t>SPMS</t>
  </si>
  <si>
    <t>SCES</t>
  </si>
  <si>
    <t>SCMS</t>
  </si>
  <si>
    <t>Excellent</t>
  </si>
  <si>
    <t>Good</t>
  </si>
  <si>
    <t>Average</t>
  </si>
  <si>
    <t>Below Average</t>
  </si>
  <si>
    <t>Unsatisfactory</t>
  </si>
  <si>
    <t>Student Progress</t>
  </si>
  <si>
    <t>Est. Points</t>
  </si>
  <si>
    <t>Est. ES Rating</t>
  </si>
  <si>
    <t>Est. MS Rating</t>
  </si>
  <si>
    <t>Participation Rate:</t>
  </si>
  <si>
    <r>
      <t xml:space="preserve">Number in </t>
    </r>
    <r>
      <rPr>
        <b/>
        <sz val="11"/>
        <color theme="1"/>
        <rFont val="Calibri"/>
        <family val="2"/>
        <scheme val="minor"/>
      </rPr>
      <t>PAB 6</t>
    </r>
    <r>
      <rPr>
        <sz val="11"/>
        <color theme="1"/>
        <rFont val="Calibri"/>
        <family val="2"/>
        <scheme val="minor"/>
      </rPr>
      <t xml:space="preserve"> (</t>
    </r>
    <r>
      <rPr>
        <b/>
        <i/>
        <sz val="11"/>
        <color theme="1"/>
        <rFont val="Calibri"/>
        <family val="2"/>
        <scheme val="minor"/>
      </rPr>
      <t>55</t>
    </r>
    <r>
      <rPr>
        <i/>
        <sz val="11"/>
        <color theme="1"/>
        <rFont val="Calibri"/>
        <family val="2"/>
        <scheme val="minor"/>
      </rPr>
      <t xml:space="preserve"> CGP</t>
    </r>
    <r>
      <rPr>
        <sz val="11"/>
        <color theme="1"/>
        <rFont val="Calibri"/>
        <family val="2"/>
        <scheme val="minor"/>
      </rPr>
      <t>) projected:</t>
    </r>
  </si>
  <si>
    <r>
      <t xml:space="preserve">Number in </t>
    </r>
    <r>
      <rPr>
        <b/>
        <sz val="11"/>
        <color theme="1"/>
        <rFont val="Calibri"/>
        <family val="2"/>
        <scheme val="minor"/>
      </rPr>
      <t>PAB 4</t>
    </r>
    <r>
      <rPr>
        <sz val="11"/>
        <color theme="1"/>
        <rFont val="Calibri"/>
        <family val="2"/>
        <scheme val="minor"/>
      </rPr>
      <t xml:space="preserve"> (</t>
    </r>
    <r>
      <rPr>
        <b/>
        <i/>
        <sz val="11"/>
        <color theme="1"/>
        <rFont val="Calibri"/>
        <family val="2"/>
        <scheme val="minor"/>
      </rPr>
      <t>65</t>
    </r>
    <r>
      <rPr>
        <i/>
        <sz val="11"/>
        <color theme="1"/>
        <rFont val="Calibri"/>
        <family val="2"/>
        <scheme val="minor"/>
      </rPr>
      <t xml:space="preserve"> CGP</t>
    </r>
    <r>
      <rPr>
        <sz val="11"/>
        <color theme="1"/>
        <rFont val="Calibri"/>
        <family val="2"/>
        <scheme val="minor"/>
      </rPr>
      <t>) projected:</t>
    </r>
  </si>
  <si>
    <r>
      <t xml:space="preserve">Number in </t>
    </r>
    <r>
      <rPr>
        <b/>
        <sz val="11"/>
        <color theme="1"/>
        <rFont val="Calibri"/>
        <family val="2"/>
        <scheme val="minor"/>
      </rPr>
      <t>PAB 3</t>
    </r>
    <r>
      <rPr>
        <sz val="11"/>
        <color theme="1"/>
        <rFont val="Calibri"/>
        <family val="2"/>
        <scheme val="minor"/>
      </rPr>
      <t xml:space="preserve"> (</t>
    </r>
    <r>
      <rPr>
        <b/>
        <i/>
        <sz val="11"/>
        <color theme="1"/>
        <rFont val="Calibri"/>
        <family val="2"/>
        <scheme val="minor"/>
      </rPr>
      <t>70</t>
    </r>
    <r>
      <rPr>
        <i/>
        <sz val="11"/>
        <color theme="1"/>
        <rFont val="Calibri"/>
        <family val="2"/>
        <scheme val="minor"/>
      </rPr>
      <t xml:space="preserve"> CGP</t>
    </r>
    <r>
      <rPr>
        <sz val="11"/>
        <color theme="1"/>
        <rFont val="Calibri"/>
        <family val="2"/>
        <scheme val="minor"/>
      </rPr>
      <t>) projected:</t>
    </r>
  </si>
  <si>
    <r>
      <t>Number in</t>
    </r>
    <r>
      <rPr>
        <b/>
        <sz val="11"/>
        <color theme="1"/>
        <rFont val="Calibri"/>
        <family val="2"/>
        <scheme val="minor"/>
      </rPr>
      <t xml:space="preserve"> PAB 2</t>
    </r>
    <r>
      <rPr>
        <sz val="11"/>
        <color theme="1"/>
        <rFont val="Calibri"/>
        <family val="2"/>
        <scheme val="minor"/>
      </rPr>
      <t xml:space="preserve"> (</t>
    </r>
    <r>
      <rPr>
        <b/>
        <i/>
        <sz val="11"/>
        <color theme="1"/>
        <rFont val="Calibri"/>
        <family val="2"/>
        <scheme val="minor"/>
      </rPr>
      <t>75</t>
    </r>
    <r>
      <rPr>
        <i/>
        <sz val="11"/>
        <color theme="1"/>
        <rFont val="Calibri"/>
        <family val="2"/>
        <scheme val="minor"/>
      </rPr>
      <t xml:space="preserve"> CGP</t>
    </r>
    <r>
      <rPr>
        <sz val="11"/>
        <color theme="1"/>
        <rFont val="Calibri"/>
        <family val="2"/>
        <scheme val="minor"/>
      </rPr>
      <t>) projected:</t>
    </r>
  </si>
  <si>
    <r>
      <t xml:space="preserve">Number in </t>
    </r>
    <r>
      <rPr>
        <b/>
        <sz val="11"/>
        <color theme="1"/>
        <rFont val="Calibri"/>
        <family val="2"/>
        <scheme val="minor"/>
      </rPr>
      <t>PAB 1</t>
    </r>
    <r>
      <rPr>
        <sz val="11"/>
        <color theme="1"/>
        <rFont val="Calibri"/>
        <family val="2"/>
        <scheme val="minor"/>
      </rPr>
      <t xml:space="preserve"> (</t>
    </r>
    <r>
      <rPr>
        <b/>
        <i/>
        <sz val="11"/>
        <color theme="1"/>
        <rFont val="Calibri"/>
        <family val="2"/>
        <scheme val="minor"/>
      </rPr>
      <t>80</t>
    </r>
    <r>
      <rPr>
        <i/>
        <sz val="11"/>
        <color theme="1"/>
        <rFont val="Calibri"/>
        <family val="2"/>
        <scheme val="minor"/>
      </rPr>
      <t xml:space="preserve"> CGP</t>
    </r>
    <r>
      <rPr>
        <sz val="11"/>
        <color theme="1"/>
        <rFont val="Calibri"/>
        <family val="2"/>
        <scheme val="minor"/>
      </rPr>
      <t>) projected:</t>
    </r>
  </si>
  <si>
    <t>ELA &lt; MAT</t>
  </si>
  <si>
    <t>ELA ≥ MAT</t>
  </si>
  <si>
    <t>ELA ≥ AVT</t>
  </si>
  <si>
    <t>ELA Partial AVT</t>
  </si>
  <si>
    <t>ELA SC READY Projections</t>
  </si>
  <si>
    <t>Mathematics SC READY Projections</t>
  </si>
  <si>
    <t>Math &lt; MAT</t>
  </si>
  <si>
    <t>Math ≥ MAT</t>
  </si>
  <si>
    <t>Math ≥ AVT</t>
  </si>
  <si>
    <t>Math Partial AVT</t>
  </si>
  <si>
    <t>Preparing for Success</t>
  </si>
  <si>
    <r>
      <rPr>
        <b/>
        <i/>
        <sz val="9"/>
        <color theme="1"/>
        <rFont val="Calibri"/>
        <family val="2"/>
        <scheme val="minor"/>
      </rPr>
      <t>Notes:</t>
    </r>
    <r>
      <rPr>
        <i/>
        <sz val="9"/>
        <color theme="1"/>
        <rFont val="Calibri"/>
        <family val="2"/>
        <scheme val="minor"/>
      </rPr>
      <t xml:space="preserve"> Do not include students with a properly documented exclusion in the number projected for Not Tested. Participation rate is </t>
    </r>
    <r>
      <rPr>
        <b/>
        <i/>
        <u/>
        <sz val="9"/>
        <color theme="1"/>
        <rFont val="Calibri"/>
        <family val="2"/>
        <scheme val="minor"/>
      </rPr>
      <t>estimated</t>
    </r>
    <r>
      <rPr>
        <i/>
        <sz val="9"/>
        <color theme="1"/>
        <rFont val="Calibri"/>
        <family val="2"/>
        <scheme val="minor"/>
      </rPr>
      <t>, based on the information entered, as the percent of required tests that were taken. Consult the accountability manual for the correct calculation methods. Per the requirements of subparagraph 1111(c)(4)(E)(i) of ESSA, if a school tests fewer than 95 percent of eligible students, then the school's Rating in Academic Achievement shall be reduced by five (5) points and the school shall also not eligible for the highest overall rating level. The adjustments listed in the manual are applied to the estimates in this workbook. Schools that test fewer than 95 percent of eligible students must submit a plan to the SCDE outlining how the school will increase the percentage of students tested.</t>
    </r>
  </si>
  <si>
    <t>Science</t>
  </si>
  <si>
    <t>Multilingual Learners’ Progress</t>
  </si>
  <si>
    <t>Showing Progress:</t>
  </si>
  <si>
    <t>School Climate</t>
  </si>
  <si>
    <t>Multilingual Learners’ Progress:</t>
  </si>
  <si>
    <t>Academic Achievement:</t>
  </si>
  <si>
    <t>Student Progress:</t>
  </si>
  <si>
    <t>Preparing for Success:</t>
  </si>
  <si>
    <t>School Climate:</t>
  </si>
  <si>
    <t>Points:</t>
  </si>
  <si>
    <t>Out of:</t>
  </si>
  <si>
    <t>Weight:</t>
  </si>
  <si>
    <t>Est. Overall Points</t>
  </si>
  <si>
    <t>Est. ES Overall Rating</t>
  </si>
  <si>
    <t>TotalES</t>
  </si>
  <si>
    <t>TotalMS</t>
  </si>
  <si>
    <t>Est. MS Overall Rating</t>
  </si>
  <si>
    <r>
      <rPr>
        <b/>
        <i/>
        <sz val="9"/>
        <color theme="1"/>
        <rFont val="Calibri"/>
        <family val="2"/>
        <scheme val="minor"/>
      </rPr>
      <t>Notes:</t>
    </r>
    <r>
      <rPr>
        <i/>
        <sz val="9"/>
        <color theme="1"/>
        <rFont val="Calibri"/>
        <family val="2"/>
        <scheme val="minor"/>
      </rPr>
      <t xml:space="preserve"> Enter the estimated Rating Points received for the School Climate indicator according to the information presented in the accountability manual. A future update of this simulator may include additional fields in this area that allows users to enter information from the Qualtrics Climate Survey Dashboards to produce a more accurate estimate. In the meantime, feel free to make projections based on previous years' survey data at this school. If the school does not receive a School Climate rating, leave this cell blank.</t>
    </r>
  </si>
  <si>
    <t>Cut Scores for Indicator and Overall Ratings (DO NOT MODIFY)</t>
  </si>
  <si>
    <t>TotalHS</t>
  </si>
  <si>
    <t>AAHS</t>
  </si>
  <si>
    <t>PfSHS</t>
  </si>
  <si>
    <t>SCHS</t>
  </si>
  <si>
    <t>MLPHS</t>
  </si>
  <si>
    <t>GRHS</t>
  </si>
  <si>
    <t>CCRHS</t>
  </si>
  <si>
    <t>HSSS</t>
  </si>
  <si>
    <t>High School Student Success:</t>
  </si>
  <si>
    <t>Graduation Rate:</t>
  </si>
  <si>
    <t>College &amp; Career Readiness:</t>
  </si>
  <si>
    <t>English 2</t>
  </si>
  <si>
    <t>Algebra 1</t>
  </si>
  <si>
    <t>Percent Passing:</t>
  </si>
  <si>
    <r>
      <t xml:space="preserve">Number Projected to Earn a B (or </t>
    </r>
    <r>
      <rPr>
        <i/>
        <sz val="11"/>
        <color theme="1"/>
        <rFont val="Calibri"/>
        <family val="2"/>
        <scheme val="minor"/>
      </rPr>
      <t>Exceeds</t>
    </r>
    <r>
      <rPr>
        <sz val="11"/>
        <color theme="1"/>
        <rFont val="Calibri"/>
        <family val="2"/>
        <scheme val="minor"/>
      </rPr>
      <t xml:space="preserve"> on ALT):</t>
    </r>
  </si>
  <si>
    <r>
      <t xml:space="preserve">Number Projected to Earn a C (or </t>
    </r>
    <r>
      <rPr>
        <i/>
        <sz val="11"/>
        <color theme="1"/>
        <rFont val="Calibri"/>
        <family val="2"/>
        <scheme val="minor"/>
      </rPr>
      <t>Meets</t>
    </r>
    <r>
      <rPr>
        <sz val="11"/>
        <color theme="1"/>
        <rFont val="Calibri"/>
        <family val="2"/>
        <scheme val="minor"/>
      </rPr>
      <t xml:space="preserve"> on ALT):</t>
    </r>
  </si>
  <si>
    <r>
      <t xml:space="preserve">Number Projected to Earn a D (or </t>
    </r>
    <r>
      <rPr>
        <i/>
        <sz val="11"/>
        <color theme="1"/>
        <rFont val="Calibri"/>
        <family val="2"/>
        <scheme val="minor"/>
      </rPr>
      <t>Approaches</t>
    </r>
    <r>
      <rPr>
        <sz val="11"/>
        <color theme="1"/>
        <rFont val="Calibri"/>
        <family val="2"/>
        <scheme val="minor"/>
      </rPr>
      <t xml:space="preserve"> on ALT):</t>
    </r>
  </si>
  <si>
    <r>
      <t xml:space="preserve">Number Projected to Earn an F (or </t>
    </r>
    <r>
      <rPr>
        <i/>
        <sz val="11"/>
        <color theme="1"/>
        <rFont val="Calibri"/>
        <family val="2"/>
        <scheme val="minor"/>
      </rPr>
      <t>Does Not Meet</t>
    </r>
    <r>
      <rPr>
        <sz val="11"/>
        <color theme="1"/>
        <rFont val="Calibri"/>
        <family val="2"/>
        <scheme val="minor"/>
      </rPr>
      <t xml:space="preserve"> on ALT):</t>
    </r>
  </si>
  <si>
    <t>Number of Students Expected to take the ALT:</t>
  </si>
  <si>
    <t>Number of Students Expected to take the EOCEP:</t>
  </si>
  <si>
    <t>Number of Students Projected to Earn an A:</t>
  </si>
  <si>
    <t>Est. Rating</t>
  </si>
  <si>
    <t>Est. Overall Rating</t>
  </si>
  <si>
    <t>HS</t>
  </si>
  <si>
    <t>Biology 1 Participation Rate:</t>
  </si>
  <si>
    <t>USH&amp;C</t>
  </si>
  <si>
    <t>Biology 1</t>
  </si>
  <si>
    <r>
      <rPr>
        <b/>
        <i/>
        <sz val="9"/>
        <color theme="1"/>
        <rFont val="Calibri"/>
        <family val="2"/>
        <scheme val="minor"/>
      </rPr>
      <t>Notes:</t>
    </r>
    <r>
      <rPr>
        <i/>
        <sz val="9"/>
        <color theme="1"/>
        <rFont val="Calibri"/>
        <family val="2"/>
        <scheme val="minor"/>
      </rPr>
      <t xml:space="preserve"> Do not include students with a properly documented exclusion in the number projected for Not Tested. Participation rate is </t>
    </r>
    <r>
      <rPr>
        <b/>
        <i/>
        <u/>
        <sz val="9"/>
        <color theme="1"/>
        <rFont val="Calibri"/>
        <family val="2"/>
        <scheme val="minor"/>
      </rPr>
      <t>estimated</t>
    </r>
    <r>
      <rPr>
        <i/>
        <sz val="9"/>
        <color theme="1"/>
        <rFont val="Calibri"/>
        <family val="2"/>
        <scheme val="minor"/>
      </rPr>
      <t>, based on the information entered, as the percent of required Biology 1 tests that were taken. Consult the accountability manual for the correct calculation methods. Schools that test fewer than 95 percent of eligible students must submit a plan to the SCDE outlining how the school will increase the percentage of students tested.</t>
    </r>
  </si>
  <si>
    <t>Graduation Rate</t>
  </si>
  <si>
    <t>Number of Students Included in the Indicator:</t>
  </si>
  <si>
    <t>Number of students projected to graduate:</t>
  </si>
  <si>
    <r>
      <rPr>
        <b/>
        <i/>
        <sz val="9"/>
        <color theme="1"/>
        <rFont val="Calibri"/>
        <family val="2"/>
        <scheme val="minor"/>
      </rPr>
      <t>Notes:</t>
    </r>
    <r>
      <rPr>
        <i/>
        <sz val="9"/>
        <color theme="1"/>
        <rFont val="Calibri"/>
        <family val="2"/>
        <scheme val="minor"/>
      </rPr>
      <t xml:space="preserve"> Include early and on-time graduates in cell </t>
    </r>
    <r>
      <rPr>
        <sz val="9"/>
        <color theme="1"/>
        <rFont val="Calibri"/>
        <family val="2"/>
        <scheme val="minor"/>
      </rPr>
      <t>H49</t>
    </r>
    <r>
      <rPr>
        <i/>
        <sz val="9"/>
        <color theme="1"/>
        <rFont val="Calibri"/>
        <family val="2"/>
        <scheme val="minor"/>
      </rPr>
      <t xml:space="preserve">. Include </t>
    </r>
    <r>
      <rPr>
        <b/>
        <i/>
        <sz val="9"/>
        <color theme="1"/>
        <rFont val="Calibri"/>
        <family val="2"/>
        <scheme val="minor"/>
      </rPr>
      <t>ALL</t>
    </r>
    <r>
      <rPr>
        <i/>
        <sz val="9"/>
        <color theme="1"/>
        <rFont val="Calibri"/>
        <family val="2"/>
        <scheme val="minor"/>
      </rPr>
      <t xml:space="preserve"> students in the graduating cohort, regardless of outcome or status, in </t>
    </r>
    <r>
      <rPr>
        <sz val="9"/>
        <color theme="1"/>
        <rFont val="Calibri"/>
        <family val="2"/>
        <scheme val="minor"/>
      </rPr>
      <t>H50</t>
    </r>
    <r>
      <rPr>
        <i/>
        <sz val="9"/>
        <color theme="1"/>
        <rFont val="Calibri"/>
        <family val="2"/>
        <scheme val="minor"/>
      </rPr>
      <t>.</t>
    </r>
  </si>
  <si>
    <t>College &amp; Career Readiness</t>
  </si>
  <si>
    <t>Total score ≥ 1020 on the SAT:</t>
  </si>
  <si>
    <t>Composite score ≥ 20 on the ACT:</t>
  </si>
  <si>
    <r>
      <t xml:space="preserve">Complete </t>
    </r>
    <r>
      <rPr>
        <sz val="11"/>
        <color theme="1"/>
        <rFont val="Calibri"/>
        <family val="2"/>
      </rPr>
      <t xml:space="preserve">≥ </t>
    </r>
    <r>
      <rPr>
        <sz val="11"/>
        <color theme="1"/>
        <rFont val="Calibri"/>
        <family val="2"/>
        <scheme val="minor"/>
      </rPr>
      <t>6 approved dual enrollment courses credits with ≥ C:</t>
    </r>
  </si>
  <si>
    <t>Score ≥ C on approved Cambridge International exam:</t>
  </si>
  <si>
    <t>Score ≥ 3 on an Advanced Placement (AP) exam:</t>
  </si>
  <si>
    <t>≥ 4 on International Baccalaureate (IB) higher learning (HL) exam:</t>
  </si>
  <si>
    <t>College Ready Designations</t>
  </si>
  <si>
    <t>CTE Completers w/ credential:</t>
  </si>
  <si>
    <t>Qualifying score on career readiness test:</t>
  </si>
  <si>
    <r>
      <t xml:space="preserve">Score </t>
    </r>
    <r>
      <rPr>
        <sz val="11"/>
        <color theme="1"/>
        <rFont val="Calibri"/>
        <family val="2"/>
      </rPr>
      <t>≥ 31 on ASVAB:</t>
    </r>
  </si>
  <si>
    <t>Complete state-approved work-based learning:</t>
  </si>
  <si>
    <t>Earn SC High School Employability Credential:</t>
  </si>
  <si>
    <t>Career Ready Designations</t>
  </si>
  <si>
    <t>Overall Projections</t>
  </si>
  <si>
    <r>
      <t xml:space="preserve">Projected to be College </t>
    </r>
    <r>
      <rPr>
        <b/>
        <i/>
        <sz val="8"/>
        <color theme="1"/>
        <rFont val="Calibri"/>
        <family val="2"/>
        <scheme val="minor"/>
      </rPr>
      <t>AND</t>
    </r>
    <r>
      <rPr>
        <sz val="8"/>
        <color theme="1"/>
        <rFont val="Calibri"/>
        <family val="2"/>
        <scheme val="minor"/>
      </rPr>
      <t xml:space="preserve"> Career Ready:</t>
    </r>
  </si>
  <si>
    <r>
      <t xml:space="preserve">Students Projected to be </t>
    </r>
    <r>
      <rPr>
        <b/>
        <sz val="8"/>
        <color theme="1"/>
        <rFont val="Calibri"/>
        <family val="2"/>
        <scheme val="minor"/>
      </rPr>
      <t>Career Ready</t>
    </r>
    <r>
      <rPr>
        <sz val="8"/>
        <color theme="1"/>
        <rFont val="Calibri"/>
        <family val="2"/>
        <scheme val="minor"/>
      </rPr>
      <t>:</t>
    </r>
  </si>
  <si>
    <r>
      <t xml:space="preserve">Students Projected to be </t>
    </r>
    <r>
      <rPr>
        <b/>
        <sz val="8"/>
        <color theme="1"/>
        <rFont val="Calibri"/>
        <family val="2"/>
        <scheme val="minor"/>
      </rPr>
      <t>College Ready</t>
    </r>
    <r>
      <rPr>
        <sz val="8"/>
        <color theme="1"/>
        <rFont val="Calibri"/>
        <family val="2"/>
        <scheme val="minor"/>
      </rPr>
      <t>:</t>
    </r>
  </si>
  <si>
    <r>
      <t xml:space="preserve">Students Projected to be College </t>
    </r>
    <r>
      <rPr>
        <b/>
        <i/>
        <sz val="8"/>
        <color theme="1"/>
        <rFont val="Calibri"/>
        <family val="2"/>
        <scheme val="minor"/>
      </rPr>
      <t>OR</t>
    </r>
    <r>
      <rPr>
        <sz val="8"/>
        <color theme="1"/>
        <rFont val="Calibri"/>
        <family val="2"/>
        <scheme val="minor"/>
      </rPr>
      <t xml:space="preserve"> Career Ready:</t>
    </r>
  </si>
  <si>
    <r>
      <rPr>
        <b/>
        <i/>
        <sz val="9"/>
        <color theme="1"/>
        <rFont val="Calibri"/>
        <family val="2"/>
        <scheme val="minor"/>
      </rPr>
      <t>Notes:</t>
    </r>
    <r>
      <rPr>
        <i/>
        <sz val="9"/>
        <color theme="1"/>
        <rFont val="Calibri"/>
        <family val="2"/>
        <scheme val="minor"/>
      </rPr>
      <t xml:space="preserve"> Estimated points and ratings use </t>
    </r>
    <r>
      <rPr>
        <b/>
        <i/>
        <sz val="9"/>
        <color theme="1"/>
        <rFont val="Calibri"/>
        <family val="2"/>
        <scheme val="minor"/>
      </rPr>
      <t>only</t>
    </r>
    <r>
      <rPr>
        <i/>
        <sz val="9"/>
        <color theme="1"/>
        <rFont val="Calibri"/>
        <family val="2"/>
        <scheme val="minor"/>
      </rPr>
      <t xml:space="preserve"> the number of students in the graduating cohort (cell </t>
    </r>
    <r>
      <rPr>
        <sz val="9"/>
        <color theme="1"/>
        <rFont val="Calibri"/>
        <family val="2"/>
        <scheme val="minor"/>
      </rPr>
      <t>H50</t>
    </r>
    <r>
      <rPr>
        <i/>
        <sz val="9"/>
        <color theme="1"/>
        <rFont val="Calibri"/>
        <family val="2"/>
        <scheme val="minor"/>
      </rPr>
      <t xml:space="preserve">) and the number of students designated as either college or carreer ready (cell </t>
    </r>
    <r>
      <rPr>
        <sz val="9"/>
        <color theme="1"/>
        <rFont val="Calibri"/>
        <family val="2"/>
        <scheme val="minor"/>
      </rPr>
      <t>J54</t>
    </r>
    <r>
      <rPr>
        <i/>
        <sz val="9"/>
        <color theme="1"/>
        <rFont val="Calibri"/>
        <family val="2"/>
        <scheme val="minor"/>
      </rPr>
      <t>). All other cells are provided for your own use and reference.</t>
    </r>
  </si>
  <si>
    <t>1st-year students projected to be on track:</t>
  </si>
  <si>
    <t>2nd-year projected to be on track:</t>
  </si>
  <si>
    <t>3rd-year students projected to be on track:</t>
  </si>
  <si>
    <t>1YOTG</t>
  </si>
  <si>
    <t>2YOTG</t>
  </si>
  <si>
    <t>High School Student Success</t>
  </si>
  <si>
    <t>3YOTG</t>
  </si>
  <si>
    <t>5YSSR</t>
  </si>
  <si>
    <t>Successful HS outcome within 5 years:</t>
  </si>
  <si>
    <t>Percent of students on-track or successful:</t>
  </si>
  <si>
    <t>Number of students included in the indicator:</t>
  </si>
  <si>
    <r>
      <rPr>
        <b/>
        <i/>
        <sz val="9"/>
        <color theme="1"/>
        <rFont val="Calibri"/>
        <family val="2"/>
        <scheme val="minor"/>
      </rPr>
      <t>INSTRUCTIONS:</t>
    </r>
    <r>
      <rPr>
        <i/>
        <sz val="9"/>
        <color theme="1"/>
        <rFont val="Calibri"/>
        <family val="2"/>
        <scheme val="minor"/>
      </rPr>
      <t xml:space="preserve"> Use this spreadsheet to estimate projected School Report Card Ratings based on local data. Enter information into the cells that are highlighted in yellow, </t>
    </r>
    <r>
      <rPr>
        <b/>
        <i/>
        <u/>
        <sz val="9"/>
        <color theme="1"/>
        <rFont val="Calibri"/>
        <family val="2"/>
        <scheme val="minor"/>
      </rPr>
      <t>only</t>
    </r>
    <r>
      <rPr>
        <i/>
        <sz val="9"/>
        <color theme="1"/>
        <rFont val="Calibri"/>
        <family val="2"/>
        <scheme val="minor"/>
      </rPr>
      <t>. All other fields are calculated. The workbook has not been locked or protected so that you may modify it as needed. If you need a fresh copy, you may download it at https://eoc.sc.gov/educators.</t>
    </r>
  </si>
  <si>
    <r>
      <t># students in 1st-year cohort (</t>
    </r>
    <r>
      <rPr>
        <b/>
        <sz val="11"/>
        <color theme="1"/>
        <rFont val="Calibri"/>
        <family val="2"/>
        <scheme val="minor"/>
      </rPr>
      <t>9GR25</t>
    </r>
    <r>
      <rPr>
        <sz val="11"/>
        <color theme="1"/>
        <rFont val="Calibri"/>
        <family val="2"/>
        <scheme val="minor"/>
      </rPr>
      <t>):</t>
    </r>
  </si>
  <si>
    <r>
      <t># students in 2nd-year cohort (</t>
    </r>
    <r>
      <rPr>
        <b/>
        <sz val="11"/>
        <color theme="1"/>
        <rFont val="Calibri"/>
        <family val="2"/>
        <scheme val="minor"/>
      </rPr>
      <t>9GR24</t>
    </r>
    <r>
      <rPr>
        <sz val="11"/>
        <color theme="1"/>
        <rFont val="Calibri"/>
        <family val="2"/>
        <scheme val="minor"/>
      </rPr>
      <t>):</t>
    </r>
  </si>
  <si>
    <r>
      <t># of students in 1st-year cohort (</t>
    </r>
    <r>
      <rPr>
        <b/>
        <sz val="11"/>
        <color theme="1"/>
        <rFont val="Calibri"/>
        <family val="2"/>
        <scheme val="minor"/>
      </rPr>
      <t>9GR23</t>
    </r>
    <r>
      <rPr>
        <sz val="11"/>
        <color theme="1"/>
        <rFont val="Calibri"/>
        <family val="2"/>
        <scheme val="minor"/>
      </rPr>
      <t>):</t>
    </r>
  </si>
  <si>
    <r>
      <t># students in 1st-year cohort (</t>
    </r>
    <r>
      <rPr>
        <b/>
        <sz val="11"/>
        <color theme="1"/>
        <rFont val="Calibri"/>
        <family val="2"/>
        <scheme val="minor"/>
      </rPr>
      <t>9GR21</t>
    </r>
    <r>
      <rPr>
        <sz val="11"/>
        <color theme="1"/>
        <rFont val="Calibri"/>
        <family val="2"/>
        <scheme val="minor"/>
      </rPr>
      <t>):</t>
    </r>
  </si>
  <si>
    <r>
      <rPr>
        <b/>
        <i/>
        <sz val="9"/>
        <color theme="1"/>
        <rFont val="Calibri"/>
        <family val="2"/>
        <scheme val="minor"/>
      </rPr>
      <t>Notes:</t>
    </r>
    <r>
      <rPr>
        <i/>
        <sz val="9"/>
        <color theme="1"/>
        <rFont val="Calibri"/>
        <family val="2"/>
        <scheme val="minor"/>
      </rPr>
      <t xml:space="preserve"> On 2024 School Report Cards, only </t>
    </r>
    <r>
      <rPr>
        <b/>
        <i/>
        <sz val="9"/>
        <color theme="1"/>
        <rFont val="Calibri"/>
        <family val="2"/>
        <scheme val="minor"/>
      </rPr>
      <t>1YOTG</t>
    </r>
    <r>
      <rPr>
        <i/>
        <sz val="9"/>
        <color theme="1"/>
        <rFont val="Calibri"/>
        <family val="2"/>
        <scheme val="minor"/>
      </rPr>
      <t xml:space="preserve">, </t>
    </r>
    <r>
      <rPr>
        <b/>
        <i/>
        <sz val="9"/>
        <color theme="1"/>
        <rFont val="Calibri"/>
        <family val="2"/>
        <scheme val="minor"/>
      </rPr>
      <t>2YOTG</t>
    </r>
    <r>
      <rPr>
        <i/>
        <sz val="9"/>
        <color theme="1"/>
        <rFont val="Calibri"/>
        <family val="2"/>
        <scheme val="minor"/>
      </rPr>
      <t xml:space="preserve">, and </t>
    </r>
    <r>
      <rPr>
        <b/>
        <i/>
        <sz val="9"/>
        <color theme="1"/>
        <rFont val="Calibri"/>
        <family val="2"/>
        <scheme val="minor"/>
      </rPr>
      <t>5YSSR</t>
    </r>
    <r>
      <rPr>
        <i/>
        <sz val="9"/>
        <color theme="1"/>
        <rFont val="Calibri"/>
        <family val="2"/>
        <scheme val="minor"/>
      </rPr>
      <t xml:space="preserve"> contribute to points and ratings.  Data for </t>
    </r>
    <r>
      <rPr>
        <b/>
        <i/>
        <sz val="9"/>
        <color theme="1"/>
        <rFont val="Calibri"/>
        <family val="2"/>
        <scheme val="minor"/>
      </rPr>
      <t>3YOTG</t>
    </r>
    <r>
      <rPr>
        <i/>
        <sz val="9"/>
        <color theme="1"/>
        <rFont val="Calibri"/>
        <family val="2"/>
        <scheme val="minor"/>
      </rPr>
      <t xml:space="preserve"> will be displayed on School Report Cards this year, but will not impact points or ratings.  The </t>
    </r>
    <r>
      <rPr>
        <b/>
        <i/>
        <sz val="9"/>
        <color theme="1"/>
        <rFont val="Calibri"/>
        <family val="2"/>
        <scheme val="minor"/>
      </rPr>
      <t>3YOTG</t>
    </r>
    <r>
      <rPr>
        <i/>
        <sz val="9"/>
        <color theme="1"/>
        <rFont val="Calibri"/>
        <family val="2"/>
        <scheme val="minor"/>
      </rPr>
      <t xml:space="preserve"> area of this simulator is provided for your own use and reference and has been highlighted with a paler yellow color to indicate that the numbers you enter in these cells are not used in any calulations.  Refer to the 2025 Accountability Manual for details on the requirements for students to be considered on-track or having obtained a successful high school outcome.</t>
    </r>
  </si>
  <si>
    <r>
      <t xml:space="preserve">Number of students included in the </t>
    </r>
    <r>
      <rPr>
        <b/>
        <sz val="11"/>
        <color theme="1"/>
        <rFont val="Calibri"/>
        <family val="2"/>
        <scheme val="minor"/>
      </rPr>
      <t>9GR22</t>
    </r>
    <r>
      <rPr>
        <sz val="11"/>
        <color theme="1"/>
        <rFont val="Calibri"/>
        <family val="2"/>
        <scheme val="minor"/>
      </rPr>
      <t xml:space="preserve"> chohort:</t>
    </r>
  </si>
  <si>
    <r>
      <t>Notes:</t>
    </r>
    <r>
      <rPr>
        <i/>
        <sz val="9"/>
        <color theme="1"/>
        <rFont val="Calibri"/>
        <family val="2"/>
        <scheme val="minor"/>
      </rPr>
      <t xml:space="preserve"> Do not include students with a properly documented exclusion in the number projected for Not Tested. Participation rate is estimated, based on the information entered, as the percent of required tests that were taken. Consult the accountability manual for the correct calculation methods.</t>
    </r>
  </si>
  <si>
    <r>
      <rPr>
        <b/>
        <i/>
        <sz val="9"/>
        <color theme="1"/>
        <rFont val="Calibri"/>
        <family val="2"/>
        <scheme val="minor"/>
      </rPr>
      <t>INSTRUCTIONS:</t>
    </r>
    <r>
      <rPr>
        <i/>
        <sz val="9"/>
        <color theme="1"/>
        <rFont val="Calibri"/>
        <family val="2"/>
        <scheme val="minor"/>
      </rPr>
      <t xml:space="preserve"> Use this spreadsheet to estimate projected School Report Card Ratings based on local data. Enter information into cells that are highlighted in yellow, </t>
    </r>
    <r>
      <rPr>
        <b/>
        <i/>
        <u/>
        <sz val="9"/>
        <color theme="1"/>
        <rFont val="Calibri"/>
        <family val="2"/>
        <scheme val="minor"/>
      </rPr>
      <t>only</t>
    </r>
    <r>
      <rPr>
        <i/>
        <sz val="9"/>
        <color theme="1"/>
        <rFont val="Calibri"/>
        <family val="2"/>
        <scheme val="minor"/>
      </rPr>
      <t>. All other fields are calculated. The workbook has not been locked or protected; you may modify it as needed. If you need a fresh copy, you may download it at https://eoc.sc.gov/educators.  Note that any high school which receives the Graduation Rate or the Academic Achievement indicator will receive a report card and an Overall Rating.</t>
    </r>
  </si>
  <si>
    <t>Weighted Points:</t>
  </si>
  <si>
    <t>Wtd. Points:</t>
  </si>
  <si>
    <t>ELA n</t>
  </si>
  <si>
    <t>Math n</t>
  </si>
  <si>
    <t>ELA % ≥ MAT</t>
  </si>
  <si>
    <t>ELA % ≥ AVT</t>
  </si>
  <si>
    <r>
      <t>ELA Target Points (RP</t>
    </r>
    <r>
      <rPr>
        <b/>
        <i/>
        <vertAlign val="subscript"/>
        <sz val="9"/>
        <color theme="1"/>
        <rFont val="Calibri"/>
        <family val="2"/>
        <scheme val="minor"/>
      </rPr>
      <t>T</t>
    </r>
    <r>
      <rPr>
        <b/>
        <i/>
        <sz val="9"/>
        <color theme="1"/>
        <rFont val="Calibri"/>
        <family val="2"/>
        <scheme val="minor"/>
      </rPr>
      <t>)</t>
    </r>
  </si>
  <si>
    <r>
      <t>ELA VAM Points (ISP</t>
    </r>
    <r>
      <rPr>
        <b/>
        <i/>
        <vertAlign val="subscript"/>
        <sz val="9"/>
        <color theme="1"/>
        <rFont val="Calibri"/>
        <family val="2"/>
        <scheme val="minor"/>
      </rPr>
      <t>Sch</t>
    </r>
    <r>
      <rPr>
        <b/>
        <i/>
        <sz val="9"/>
        <color theme="1"/>
        <rFont val="Calibri"/>
        <family val="2"/>
        <scheme val="minor"/>
      </rPr>
      <t>)</t>
    </r>
  </si>
  <si>
    <r>
      <t>ELA Pct. Points (RP</t>
    </r>
    <r>
      <rPr>
        <b/>
        <i/>
        <vertAlign val="subscript"/>
        <sz val="9"/>
        <color theme="1"/>
        <rFont val="Calibri"/>
        <family val="2"/>
        <scheme val="minor"/>
      </rPr>
      <t>P</t>
    </r>
    <r>
      <rPr>
        <b/>
        <i/>
        <sz val="9"/>
        <color theme="1"/>
        <rFont val="Calibri"/>
        <family val="2"/>
        <scheme val="minor"/>
      </rPr>
      <t>)</t>
    </r>
  </si>
  <si>
    <t>Math % ≥ MAT</t>
  </si>
  <si>
    <t>Math % ≥ AVT</t>
  </si>
  <si>
    <r>
      <t>Math Target Points (RP</t>
    </r>
    <r>
      <rPr>
        <b/>
        <i/>
        <vertAlign val="subscript"/>
        <sz val="9"/>
        <color theme="1"/>
        <rFont val="Calibri"/>
        <family val="2"/>
        <scheme val="minor"/>
      </rPr>
      <t>T</t>
    </r>
    <r>
      <rPr>
        <b/>
        <i/>
        <sz val="9"/>
        <color theme="1"/>
        <rFont val="Calibri"/>
        <family val="2"/>
        <scheme val="minor"/>
      </rPr>
      <t>)</t>
    </r>
  </si>
  <si>
    <r>
      <t>Math Pct. Points (RP</t>
    </r>
    <r>
      <rPr>
        <b/>
        <i/>
        <vertAlign val="subscript"/>
        <sz val="9"/>
        <color theme="1"/>
        <rFont val="Calibri"/>
        <family val="2"/>
        <scheme val="minor"/>
      </rPr>
      <t>P</t>
    </r>
    <r>
      <rPr>
        <b/>
        <i/>
        <sz val="9"/>
        <color theme="1"/>
        <rFont val="Calibri"/>
        <family val="2"/>
        <scheme val="minor"/>
      </rPr>
      <t>)</t>
    </r>
  </si>
  <si>
    <r>
      <t>Math VAM Points (ISP</t>
    </r>
    <r>
      <rPr>
        <b/>
        <i/>
        <vertAlign val="subscript"/>
        <sz val="9"/>
        <color theme="1"/>
        <rFont val="Calibri"/>
        <family val="2"/>
        <scheme val="minor"/>
      </rPr>
      <t>Sch</t>
    </r>
    <r>
      <rPr>
        <b/>
        <i/>
        <sz val="9"/>
        <color theme="1"/>
        <rFont val="Calibri"/>
        <family val="2"/>
        <scheme val="minor"/>
      </rPr>
      <t>)</t>
    </r>
  </si>
  <si>
    <r>
      <t xml:space="preserve">Number in </t>
    </r>
    <r>
      <rPr>
        <b/>
        <sz val="11"/>
        <color theme="1"/>
        <rFont val="Calibri"/>
        <family val="2"/>
        <scheme val="minor"/>
      </rPr>
      <t>PAB 5</t>
    </r>
    <r>
      <rPr>
        <sz val="11"/>
        <color theme="1"/>
        <rFont val="Calibri"/>
        <family val="2"/>
        <scheme val="minor"/>
      </rPr>
      <t xml:space="preserve"> (</t>
    </r>
    <r>
      <rPr>
        <b/>
        <i/>
        <sz val="11"/>
        <color theme="1"/>
        <rFont val="Calibri"/>
        <family val="2"/>
        <scheme val="minor"/>
      </rPr>
      <t>60</t>
    </r>
    <r>
      <rPr>
        <i/>
        <sz val="11"/>
        <color theme="1"/>
        <rFont val="Calibri"/>
        <family val="2"/>
        <scheme val="minor"/>
      </rPr>
      <t xml:space="preserve"> CGP</t>
    </r>
    <r>
      <rPr>
        <sz val="11"/>
        <color theme="1"/>
        <rFont val="Calibri"/>
        <family val="2"/>
        <scheme val="minor"/>
      </rPr>
      <t>) projected:</t>
    </r>
  </si>
  <si>
    <t>Math Student Progress</t>
  </si>
  <si>
    <t>ELA Student Progress</t>
  </si>
  <si>
    <t>Mathematics</t>
  </si>
  <si>
    <r>
      <rPr>
        <b/>
        <i/>
        <sz val="9"/>
        <color theme="1"/>
        <rFont val="Calibri"/>
        <family val="2"/>
        <scheme val="minor"/>
      </rPr>
      <t xml:space="preserve">Notes: </t>
    </r>
    <r>
      <rPr>
        <i/>
        <sz val="9"/>
        <color theme="1"/>
        <rFont val="Calibri"/>
        <family val="2"/>
        <scheme val="minor"/>
      </rPr>
      <t xml:space="preserve">Changes in the 2023 South Carolina College- and Career-Ready Standards for English Language Arts from the 2015 standards required revisions to the SC READY ELA assessment. Although the changes to the assessment are not expected to affect the calculation and reporting of the Academic Achievement indicator, changes are expected to affect the vertical scale, achievement level cut scores, and distribution of expected growth scores enough to prevent the inclusion of ELA growth records in the calculation of the Added-Value Growth Model (AVGM) metrics (i.e., </t>
    </r>
    <r>
      <rPr>
        <b/>
        <i/>
        <sz val="9"/>
        <color theme="1"/>
        <rFont val="Calibri"/>
        <family val="2"/>
        <scheme val="minor"/>
      </rPr>
      <t>RP</t>
    </r>
    <r>
      <rPr>
        <b/>
        <i/>
        <vertAlign val="subscript"/>
        <sz val="9"/>
        <color theme="1"/>
        <rFont val="Calibri"/>
        <family val="2"/>
        <scheme val="minor"/>
      </rPr>
      <t>T</t>
    </r>
    <r>
      <rPr>
        <i/>
        <sz val="9"/>
        <color theme="1"/>
        <rFont val="Calibri"/>
        <family val="2"/>
        <scheme val="minor"/>
      </rPr>
      <t xml:space="preserve"> and </t>
    </r>
    <r>
      <rPr>
        <b/>
        <i/>
        <sz val="9"/>
        <color theme="1"/>
        <rFont val="Calibri"/>
        <family val="2"/>
        <scheme val="minor"/>
      </rPr>
      <t>RP</t>
    </r>
    <r>
      <rPr>
        <b/>
        <i/>
        <vertAlign val="subscript"/>
        <sz val="9"/>
        <color theme="1"/>
        <rFont val="Calibri"/>
        <family val="2"/>
        <scheme val="minor"/>
      </rPr>
      <t>P</t>
    </r>
    <r>
      <rPr>
        <i/>
        <sz val="9"/>
        <color theme="1"/>
        <rFont val="Calibri"/>
        <family val="2"/>
        <scheme val="minor"/>
      </rPr>
      <t>, or "Target Points" and "Percentage Points" respectively) for 2025 Report Cards. VAM Points (</t>
    </r>
    <r>
      <rPr>
        <b/>
        <i/>
        <sz val="9"/>
        <color theme="1"/>
        <rFont val="Calibri"/>
        <family val="2"/>
        <scheme val="minor"/>
      </rPr>
      <t>ISP</t>
    </r>
    <r>
      <rPr>
        <b/>
        <i/>
        <vertAlign val="subscript"/>
        <sz val="9"/>
        <color theme="1"/>
        <rFont val="Calibri"/>
        <family val="2"/>
        <scheme val="minor"/>
      </rPr>
      <t>Sch</t>
    </r>
    <r>
      <rPr>
        <i/>
        <sz val="9"/>
        <color theme="1"/>
        <rFont val="Calibri"/>
        <family val="2"/>
        <scheme val="minor"/>
      </rPr>
      <t>) can be calculated for both ELA and Mathematics growth records and will function as in previous years.
In the first column, enter the number of students who are projected to score below their MAT and below their AVT; in the middle column, enter all students projected to score above their MAT (including those projected to score above their AVT, as well); and in the final column, enter the students who are projected to score above their AVT. The number of students projected to earn Partial AV Points is calculated as Culumn H minus Column I. All students projected to earn Partial AV Points are estimated to earn half of the Partial AV Points available to them. You may wish to estimate VAM Points by referring to School Report Cards from previous years and adjusting based on current year data.</t>
    </r>
  </si>
  <si>
    <t>Number of MLs projected to meet or exceed progress target:</t>
  </si>
  <si>
    <r>
      <t xml:space="preserve">Number of continuously-enrolled MLs </t>
    </r>
    <r>
      <rPr>
        <b/>
        <i/>
        <sz val="11"/>
        <color theme="1"/>
        <rFont val="Calibri"/>
        <family val="2"/>
        <scheme val="minor"/>
      </rPr>
      <t>required</t>
    </r>
    <r>
      <rPr>
        <sz val="11"/>
        <color theme="1"/>
        <rFont val="Calibri"/>
        <family val="2"/>
        <scheme val="minor"/>
      </rPr>
      <t xml:space="preserve"> to test:</t>
    </r>
  </si>
  <si>
    <r>
      <rPr>
        <b/>
        <i/>
        <sz val="9"/>
        <color theme="1"/>
        <rFont val="Calibri"/>
        <family val="2"/>
        <scheme val="minor"/>
      </rPr>
      <t>Notes:</t>
    </r>
    <r>
      <rPr>
        <i/>
        <sz val="9"/>
        <color theme="1"/>
        <rFont val="Calibri"/>
        <family val="2"/>
        <scheme val="minor"/>
      </rPr>
      <t xml:space="preserve"> Continuously-enrolled MLs who are not tested have </t>
    </r>
    <r>
      <rPr>
        <b/>
        <i/>
        <sz val="9"/>
        <color theme="1"/>
        <rFont val="Calibri"/>
        <family val="2"/>
        <scheme val="minor"/>
      </rPr>
      <t>not</t>
    </r>
    <r>
      <rPr>
        <i/>
        <sz val="9"/>
        <color theme="1"/>
        <rFont val="Calibri"/>
        <family val="2"/>
        <scheme val="minor"/>
      </rPr>
      <t xml:space="preserve"> demonstrated progress.</t>
    </r>
  </si>
  <si>
    <t>Number of continuously-enrolled MLs not tested:</t>
  </si>
  <si>
    <r>
      <t>Note about the 2025 Simulator:</t>
    </r>
    <r>
      <rPr>
        <i/>
        <sz val="9"/>
        <color theme="1"/>
        <rFont val="Calibri"/>
        <family val="2"/>
        <scheme val="minor"/>
      </rPr>
      <t xml:space="preserve"> All formulas to calculate AVGM metrics for ELA still work.  To accuarately estimate 2025 Report Cards, do not enter data in the grayed-out cells.  If you choose to use these cells for "what if" analyses related to AVGM, they will be included in the estimated Rating Points and will differ from the calculations used on Report Cards.</t>
    </r>
  </si>
  <si>
    <r>
      <t>2025 School Report Card Simulator</t>
    </r>
    <r>
      <rPr>
        <sz val="18"/>
        <color theme="1"/>
        <rFont val="Arial"/>
        <family val="2"/>
      </rPr>
      <t xml:space="preserve"> (</t>
    </r>
    <r>
      <rPr>
        <sz val="14"/>
        <color theme="1"/>
        <rFont val="Arial"/>
        <family val="2"/>
      </rPr>
      <t>v 1.2.3; 8/12/2025</t>
    </r>
    <r>
      <rPr>
        <sz val="18"/>
        <color theme="1"/>
        <rFont val="Arial"/>
        <family val="2"/>
      </rPr>
      <t>)</t>
    </r>
  </si>
  <si>
    <r>
      <t>2025 School Report Card Simulator</t>
    </r>
    <r>
      <rPr>
        <sz val="14"/>
        <color theme="1"/>
        <rFont val="Arial"/>
        <family val="2"/>
      </rPr>
      <t xml:space="preserve"> (v 1.2.3; 8/12/2025)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</si>
</sst>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b/>
      <sz val="18"/>
      <color theme="1"/>
      <name val="Arial"/>
      <family val="2"/>
    </font>
    <font>
      <i/>
      <sz val="11"/>
      <color theme="1"/>
      <name val="Calibri"/>
      <family val="2"/>
      <scheme val="minor"/>
    </font>
    <font>
      <b/>
      <i/>
      <sz val="11"/>
      <color theme="1"/>
      <name val="Calibri"/>
      <family val="2"/>
      <scheme val="minor"/>
    </font>
    <font>
      <b/>
      <sz val="10"/>
      <color theme="1"/>
      <name val="Calibri"/>
      <family val="2"/>
      <scheme val="minor"/>
    </font>
    <font>
      <b/>
      <sz val="20"/>
      <name val="Calibri"/>
      <family val="2"/>
      <scheme val="minor"/>
    </font>
    <font>
      <b/>
      <sz val="11"/>
      <name val="Calibri"/>
      <family val="2"/>
      <scheme val="minor"/>
    </font>
    <font>
      <b/>
      <i/>
      <sz val="10"/>
      <color theme="1"/>
      <name val="Calibri"/>
      <family val="2"/>
      <scheme val="minor"/>
    </font>
    <font>
      <i/>
      <sz val="9"/>
      <color theme="1"/>
      <name val="Calibri"/>
      <family val="2"/>
      <scheme val="minor"/>
    </font>
    <font>
      <b/>
      <i/>
      <sz val="9"/>
      <color theme="1"/>
      <name val="Calibri"/>
      <family val="2"/>
      <scheme val="minor"/>
    </font>
    <font>
      <b/>
      <i/>
      <u/>
      <sz val="9"/>
      <color theme="1"/>
      <name val="Calibri"/>
      <family val="2"/>
      <scheme val="minor"/>
    </font>
    <font>
      <b/>
      <sz val="9"/>
      <color theme="1"/>
      <name val="Calibri"/>
      <family val="2"/>
      <scheme val="minor"/>
    </font>
    <font>
      <b/>
      <sz val="9"/>
      <color theme="1" tint="0.499984740745262"/>
      <name val="Calibri"/>
      <family val="2"/>
      <scheme val="minor"/>
    </font>
    <font>
      <b/>
      <sz val="11"/>
      <color theme="1" tint="0.499984740745262"/>
      <name val="Calibri"/>
      <family val="2"/>
      <scheme val="minor"/>
    </font>
    <font>
      <sz val="11"/>
      <color theme="1" tint="0.499984740745262"/>
      <name val="Calibri"/>
      <family val="2"/>
      <scheme val="minor"/>
    </font>
    <font>
      <b/>
      <sz val="10"/>
      <color theme="1" tint="0.499984740745262"/>
      <name val="Calibri"/>
      <family val="2"/>
      <scheme val="minor"/>
    </font>
    <font>
      <sz val="14"/>
      <color theme="1"/>
      <name val="Arial"/>
      <family val="2"/>
    </font>
    <font>
      <b/>
      <i/>
      <sz val="8"/>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i/>
      <vertAlign val="subscript"/>
      <sz val="9"/>
      <color theme="1"/>
      <name val="Calibri"/>
      <family val="2"/>
      <scheme val="minor"/>
    </font>
    <font>
      <b/>
      <sz val="14"/>
      <color theme="1"/>
      <name val="Arial"/>
      <family val="2"/>
    </font>
    <font>
      <sz val="18"/>
      <color theme="1"/>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CC"/>
        <bgColor indexed="64"/>
      </patternFill>
    </fill>
    <fill>
      <patternFill patternType="solid">
        <fgColor theme="4" tint="0.79998168889431442"/>
        <bgColor indexed="64"/>
      </patternFill>
    </fill>
  </fills>
  <borders count="84">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tted">
        <color indexed="64"/>
      </left>
      <right/>
      <top style="dotted">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auto="1"/>
      </left>
      <right style="dotted">
        <color auto="1"/>
      </right>
      <top style="dotted">
        <color auto="1"/>
      </top>
      <bottom style="dotted">
        <color auto="1"/>
      </bottom>
      <diagonal/>
    </border>
    <border>
      <left style="dotted">
        <color auto="1"/>
      </left>
      <right style="dotted">
        <color auto="1"/>
      </right>
      <top style="thin">
        <color indexed="64"/>
      </top>
      <bottom style="dotted">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medium">
        <color indexed="64"/>
      </top>
      <bottom/>
      <diagonal/>
    </border>
    <border>
      <left style="thin">
        <color indexed="64"/>
      </left>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dotted">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dotted">
        <color auto="1"/>
      </top>
      <bottom style="dotted">
        <color auto="1"/>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style="dotted">
        <color auto="1"/>
      </left>
      <right style="medium">
        <color indexed="64"/>
      </right>
      <top style="dotted">
        <color auto="1"/>
      </top>
      <bottom style="dotted">
        <color auto="1"/>
      </bottom>
      <diagonal/>
    </border>
  </borders>
  <cellStyleXfs count="2">
    <xf numFmtId="0" fontId="0" fillId="0" borderId="0"/>
    <xf numFmtId="9" fontId="2" fillId="0" borderId="0" applyFont="0" applyFill="0" applyBorder="0" applyAlignment="0" applyProtection="0"/>
  </cellStyleXfs>
  <cellXfs count="229">
    <xf numFmtId="0" fontId="0" fillId="0" borderId="0" xfId="0"/>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3" fillId="0" borderId="19" xfId="0" applyFont="1" applyBorder="1" applyAlignment="1">
      <alignment horizontal="right"/>
    </xf>
    <xf numFmtId="0" fontId="0" fillId="0" borderId="19" xfId="0" applyBorder="1" applyAlignment="1">
      <alignment horizontal="right"/>
    </xf>
    <xf numFmtId="0" fontId="0" fillId="0" borderId="20" xfId="0" applyBorder="1"/>
    <xf numFmtId="0" fontId="0" fillId="0" borderId="21" xfId="0" applyBorder="1" applyAlignment="1">
      <alignment horizontal="right"/>
    </xf>
    <xf numFmtId="2" fontId="7" fillId="5" borderId="30" xfId="0" applyNumberFormat="1" applyFont="1" applyFill="1" applyBorder="1" applyAlignment="1">
      <alignment horizontal="center" vertical="center"/>
    </xf>
    <xf numFmtId="0" fontId="7" fillId="5" borderId="31" xfId="0" applyFont="1" applyFill="1" applyBorder="1" applyAlignment="1">
      <alignment horizontal="center" vertical="center"/>
    </xf>
    <xf numFmtId="0" fontId="7" fillId="5" borderId="32" xfId="0" applyFont="1" applyFill="1" applyBorder="1" applyAlignment="1">
      <alignment horizontal="center" vertical="center"/>
    </xf>
    <xf numFmtId="2" fontId="7" fillId="5" borderId="33" xfId="0" applyNumberFormat="1" applyFont="1" applyFill="1" applyBorder="1" applyAlignment="1">
      <alignment horizontal="center" vertical="center"/>
    </xf>
    <xf numFmtId="0" fontId="0" fillId="0" borderId="17" xfId="0" applyBorder="1"/>
    <xf numFmtId="0" fontId="3" fillId="0" borderId="34"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right" vertical="center"/>
    </xf>
    <xf numFmtId="0" fontId="0" fillId="4" borderId="37" xfId="0" applyFill="1" applyBorder="1" applyAlignment="1">
      <alignment horizontal="center" vertical="center"/>
    </xf>
    <xf numFmtId="0" fontId="3" fillId="3" borderId="10" xfId="0" applyFont="1" applyFill="1" applyBorder="1" applyAlignment="1">
      <alignment horizontal="center" vertical="center"/>
    </xf>
    <xf numFmtId="164" fontId="3" fillId="3" borderId="10" xfId="1" applyNumberFormat="1" applyFont="1" applyFill="1" applyBorder="1" applyAlignment="1">
      <alignment horizontal="center" vertical="center"/>
    </xf>
    <xf numFmtId="0" fontId="0" fillId="0" borderId="0" xfId="0" applyAlignment="1">
      <alignment horizontal="right"/>
    </xf>
    <xf numFmtId="0" fontId="3" fillId="3" borderId="26" xfId="0" applyFont="1" applyFill="1" applyBorder="1" applyAlignment="1">
      <alignment horizontal="center" vertical="center"/>
    </xf>
    <xf numFmtId="164" fontId="3" fillId="3" borderId="26" xfId="1" applyNumberFormat="1" applyFont="1" applyFill="1" applyBorder="1" applyAlignment="1">
      <alignment horizontal="center" vertical="center"/>
    </xf>
    <xf numFmtId="2" fontId="7" fillId="3" borderId="10" xfId="0" applyNumberFormat="1" applyFont="1" applyFill="1"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0" borderId="3" xfId="0" applyBorder="1"/>
    <xf numFmtId="0" fontId="0" fillId="0" borderId="1" xfId="0" applyBorder="1"/>
    <xf numFmtId="0" fontId="10" fillId="6" borderId="38" xfId="0" applyFont="1" applyFill="1" applyBorder="1" applyAlignment="1">
      <alignment horizontal="center"/>
    </xf>
    <xf numFmtId="0" fontId="10" fillId="6" borderId="39" xfId="0" applyFont="1" applyFill="1" applyBorder="1" applyAlignment="1">
      <alignment horizontal="center"/>
    </xf>
    <xf numFmtId="0" fontId="3" fillId="3" borderId="36" xfId="0" applyFont="1" applyFill="1" applyBorder="1" applyAlignment="1">
      <alignment horizontal="center" vertical="center"/>
    </xf>
    <xf numFmtId="0" fontId="0" fillId="0" borderId="20" xfId="0" applyBorder="1" applyAlignment="1">
      <alignment horizontal="right"/>
    </xf>
    <xf numFmtId="0" fontId="6" fillId="6" borderId="42" xfId="0" applyFont="1" applyFill="1" applyBorder="1" applyAlignment="1">
      <alignment horizontal="center"/>
    </xf>
    <xf numFmtId="0" fontId="0" fillId="0" borderId="34" xfId="0" applyBorder="1"/>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3" borderId="48" xfId="0" applyFill="1" applyBorder="1" applyAlignment="1">
      <alignment horizontal="center" vertical="center"/>
    </xf>
    <xf numFmtId="0" fontId="0" fillId="7" borderId="8" xfId="0" applyFill="1" applyBorder="1" applyAlignment="1">
      <alignment horizontal="center" vertical="center"/>
    </xf>
    <xf numFmtId="164" fontId="9" fillId="3" borderId="25" xfId="1" applyNumberFormat="1" applyFont="1" applyFill="1" applyBorder="1" applyAlignment="1">
      <alignment horizontal="center" vertical="center"/>
    </xf>
    <xf numFmtId="0" fontId="0" fillId="4" borderId="51" xfId="0" applyFill="1" applyBorder="1" applyAlignment="1">
      <alignment horizontal="center" vertical="center"/>
    </xf>
    <xf numFmtId="0" fontId="0" fillId="4" borderId="53" xfId="0" applyFill="1" applyBorder="1" applyAlignment="1">
      <alignment horizontal="center" vertical="center"/>
    </xf>
    <xf numFmtId="0" fontId="12" fillId="0" borderId="3" xfId="0" applyFont="1" applyBorder="1" applyAlignment="1">
      <alignment vertical="top" wrapText="1"/>
    </xf>
    <xf numFmtId="0" fontId="12" fillId="0" borderId="1" xfId="0" applyFont="1" applyBorder="1" applyAlignment="1">
      <alignment vertical="top" wrapText="1"/>
    </xf>
    <xf numFmtId="0" fontId="3" fillId="0" borderId="49" xfId="0" applyFont="1" applyBorder="1" applyAlignment="1">
      <alignment horizontal="right"/>
    </xf>
    <xf numFmtId="164" fontId="3" fillId="3" borderId="56" xfId="1" applyNumberFormat="1" applyFont="1" applyFill="1" applyBorder="1" applyAlignment="1">
      <alignment horizontal="center" vertical="center"/>
    </xf>
    <xf numFmtId="0" fontId="0" fillId="0" borderId="5" xfId="0" applyBorder="1"/>
    <xf numFmtId="0" fontId="0" fillId="0" borderId="2" xfId="0" applyBorder="1"/>
    <xf numFmtId="0" fontId="0" fillId="4" borderId="58" xfId="0" applyFill="1" applyBorder="1" applyAlignment="1">
      <alignment horizontal="center" vertical="center"/>
    </xf>
    <xf numFmtId="2" fontId="7" fillId="4" borderId="30" xfId="0" applyNumberFormat="1" applyFont="1" applyFill="1" applyBorder="1" applyAlignment="1">
      <alignment horizontal="center" vertical="center"/>
    </xf>
    <xf numFmtId="0" fontId="14" fillId="2" borderId="28"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7" xfId="0" applyFont="1" applyFill="1" applyBorder="1" applyAlignment="1">
      <alignment horizontal="center" vertical="center"/>
    </xf>
    <xf numFmtId="2" fontId="7" fillId="3" borderId="55" xfId="0" applyNumberFormat="1" applyFont="1" applyFill="1" applyBorder="1" applyAlignment="1">
      <alignment horizontal="center" vertical="center"/>
    </xf>
    <xf numFmtId="2" fontId="7" fillId="3" borderId="24" xfId="0" applyNumberFormat="1" applyFont="1" applyFill="1" applyBorder="1" applyAlignment="1">
      <alignment horizontal="center" vertical="center"/>
    </xf>
    <xf numFmtId="2" fontId="7" fillId="3" borderId="33" xfId="0" applyNumberFormat="1" applyFont="1" applyFill="1" applyBorder="1" applyAlignment="1">
      <alignment horizontal="center" vertical="center"/>
    </xf>
    <xf numFmtId="2" fontId="7" fillId="5" borderId="60" xfId="0" applyNumberFormat="1" applyFont="1" applyFill="1" applyBorder="1" applyAlignment="1">
      <alignment horizontal="center" vertical="center"/>
    </xf>
    <xf numFmtId="2" fontId="7" fillId="3" borderId="29" xfId="0" applyNumberFormat="1" applyFont="1" applyFill="1" applyBorder="1" applyAlignment="1">
      <alignment horizontal="center" vertical="center"/>
    </xf>
    <xf numFmtId="2" fontId="7" fillId="5" borderId="61" xfId="0" applyNumberFormat="1" applyFont="1" applyFill="1" applyBorder="1" applyAlignment="1">
      <alignment horizontal="center" vertical="center"/>
    </xf>
    <xf numFmtId="2" fontId="7" fillId="3" borderId="42" xfId="0" applyNumberFormat="1" applyFont="1" applyFill="1" applyBorder="1" applyAlignment="1">
      <alignment horizontal="center" vertical="center"/>
    </xf>
    <xf numFmtId="2" fontId="7" fillId="3" borderId="62" xfId="0" applyNumberFormat="1" applyFont="1" applyFill="1" applyBorder="1" applyAlignment="1">
      <alignment horizontal="center" vertical="center"/>
    </xf>
    <xf numFmtId="1" fontId="0" fillId="0" borderId="0" xfId="0" applyNumberFormat="1"/>
    <xf numFmtId="0" fontId="16" fillId="6" borderId="27" xfId="0" applyFont="1" applyFill="1" applyBorder="1" applyAlignment="1">
      <alignment horizontal="center"/>
    </xf>
    <xf numFmtId="0" fontId="16" fillId="6" borderId="55" xfId="0" applyFont="1" applyFill="1" applyBorder="1" applyAlignment="1">
      <alignment horizontal="center"/>
    </xf>
    <xf numFmtId="0" fontId="16" fillId="6" borderId="63" xfId="0" applyFont="1" applyFill="1" applyBorder="1" applyAlignment="1">
      <alignment horizontal="center"/>
    </xf>
    <xf numFmtId="0" fontId="18" fillId="6" borderId="64" xfId="0" applyFont="1" applyFill="1" applyBorder="1" applyAlignment="1">
      <alignment horizontal="center" vertical="center"/>
    </xf>
    <xf numFmtId="0" fontId="18" fillId="6" borderId="65" xfId="0" applyFont="1" applyFill="1" applyBorder="1" applyAlignment="1">
      <alignment horizontal="center" vertical="center"/>
    </xf>
    <xf numFmtId="0" fontId="16" fillId="6" borderId="56" xfId="0" applyFont="1" applyFill="1" applyBorder="1" applyAlignment="1">
      <alignment horizontal="center"/>
    </xf>
    <xf numFmtId="1" fontId="17" fillId="6" borderId="17" xfId="0" applyNumberFormat="1" applyFont="1" applyFill="1" applyBorder="1" applyAlignment="1">
      <alignment horizontal="center"/>
    </xf>
    <xf numFmtId="1" fontId="17" fillId="6" borderId="19" xfId="0" applyNumberFormat="1" applyFont="1" applyFill="1" applyBorder="1" applyAlignment="1">
      <alignment horizontal="center"/>
    </xf>
    <xf numFmtId="2" fontId="17" fillId="6" borderId="54" xfId="0" applyNumberFormat="1" applyFont="1" applyFill="1" applyBorder="1" applyAlignment="1">
      <alignment horizontal="center"/>
    </xf>
    <xf numFmtId="2" fontId="17" fillId="6" borderId="19" xfId="0" applyNumberFormat="1" applyFont="1" applyFill="1" applyBorder="1" applyAlignment="1">
      <alignment horizontal="center"/>
    </xf>
    <xf numFmtId="1" fontId="17" fillId="6" borderId="5" xfId="0" applyNumberFormat="1" applyFont="1" applyFill="1" applyBorder="1" applyAlignment="1">
      <alignment horizontal="center"/>
    </xf>
    <xf numFmtId="1" fontId="17" fillId="6" borderId="57" xfId="0" applyNumberFormat="1" applyFont="1" applyFill="1" applyBorder="1" applyAlignment="1">
      <alignment horizontal="center"/>
    </xf>
    <xf numFmtId="2" fontId="17" fillId="6" borderId="59" xfId="0" applyNumberFormat="1" applyFont="1" applyFill="1" applyBorder="1" applyAlignment="1">
      <alignment horizontal="center"/>
    </xf>
    <xf numFmtId="2" fontId="17" fillId="6" borderId="57" xfId="0" applyNumberFormat="1" applyFont="1" applyFill="1" applyBorder="1" applyAlignment="1">
      <alignment horizontal="center"/>
    </xf>
    <xf numFmtId="0" fontId="16" fillId="6" borderId="28" xfId="0" applyFont="1" applyFill="1" applyBorder="1" applyAlignment="1">
      <alignment horizontal="center"/>
    </xf>
    <xf numFmtId="2" fontId="17" fillId="6" borderId="0" xfId="0" applyNumberFormat="1" applyFont="1" applyFill="1" applyAlignment="1">
      <alignment horizontal="center"/>
    </xf>
    <xf numFmtId="2" fontId="17" fillId="6" borderId="2" xfId="0" applyNumberFormat="1" applyFont="1" applyFill="1" applyBorder="1" applyAlignment="1">
      <alignment horizontal="center"/>
    </xf>
    <xf numFmtId="0" fontId="8" fillId="0" borderId="0" xfId="0" applyFont="1" applyAlignment="1">
      <alignment vertical="center"/>
    </xf>
    <xf numFmtId="0" fontId="0" fillId="4" borderId="66" xfId="0" applyFill="1" applyBorder="1" applyAlignment="1">
      <alignment horizontal="center" vertical="center"/>
    </xf>
    <xf numFmtId="0" fontId="0" fillId="0" borderId="49" xfId="0" applyBorder="1" applyAlignment="1">
      <alignment horizontal="right"/>
    </xf>
    <xf numFmtId="164" fontId="3" fillId="3" borderId="25" xfId="1" applyNumberFormat="1" applyFont="1" applyFill="1" applyBorder="1" applyAlignment="1">
      <alignment horizontal="center" vertical="center"/>
    </xf>
    <xf numFmtId="0" fontId="0" fillId="0" borderId="2" xfId="0" applyBorder="1" applyAlignment="1">
      <alignment horizontal="right"/>
    </xf>
    <xf numFmtId="0" fontId="0" fillId="0" borderId="18" xfId="0" applyBorder="1"/>
    <xf numFmtId="0" fontId="0" fillId="0" borderId="18" xfId="0" applyBorder="1" applyAlignment="1">
      <alignment horizontal="right"/>
    </xf>
    <xf numFmtId="0" fontId="0" fillId="0" borderId="45" xfId="0" applyBorder="1"/>
    <xf numFmtId="0" fontId="0" fillId="8" borderId="53" xfId="0" applyFill="1" applyBorder="1" applyAlignment="1">
      <alignment horizontal="center" vertical="center"/>
    </xf>
    <xf numFmtId="0" fontId="0" fillId="8" borderId="72" xfId="0" applyFill="1" applyBorder="1" applyAlignment="1">
      <alignment horizontal="center" vertical="center"/>
    </xf>
    <xf numFmtId="0" fontId="0" fillId="8" borderId="15" xfId="0" applyFill="1" applyBorder="1" applyAlignment="1">
      <alignment horizontal="center" vertical="center"/>
    </xf>
    <xf numFmtId="0" fontId="0" fillId="8" borderId="58" xfId="0" applyFill="1" applyBorder="1" applyAlignment="1">
      <alignment horizontal="center" vertical="center"/>
    </xf>
    <xf numFmtId="0" fontId="3" fillId="6" borderId="34" xfId="0" applyFont="1" applyFill="1" applyBorder="1" applyAlignment="1">
      <alignment vertical="center"/>
    </xf>
    <xf numFmtId="0" fontId="3" fillId="6" borderId="20" xfId="0" applyFont="1" applyFill="1" applyBorder="1" applyAlignment="1">
      <alignment vertical="center"/>
    </xf>
    <xf numFmtId="0" fontId="3" fillId="6" borderId="20" xfId="0" applyFont="1" applyFill="1" applyBorder="1" applyAlignment="1">
      <alignment horizontal="right" vertical="center"/>
    </xf>
    <xf numFmtId="0" fontId="0" fillId="0" borderId="54" xfId="0" applyBorder="1" applyAlignment="1">
      <alignment horizontal="center" vertical="center"/>
    </xf>
    <xf numFmtId="0" fontId="0" fillId="0" borderId="70" xfId="0" applyBorder="1" applyAlignment="1">
      <alignment horizontal="center" vertical="center"/>
    </xf>
    <xf numFmtId="0" fontId="4" fillId="0" borderId="20" xfId="0" applyFont="1" applyBorder="1" applyAlignment="1">
      <alignment horizontal="center" vertical="center"/>
    </xf>
    <xf numFmtId="2" fontId="7" fillId="0" borderId="20" xfId="0" applyNumberFormat="1" applyFont="1" applyBorder="1" applyAlignment="1">
      <alignment horizontal="right" vertical="center"/>
    </xf>
    <xf numFmtId="164" fontId="3" fillId="3" borderId="35" xfId="1" applyNumberFormat="1" applyFont="1" applyFill="1" applyBorder="1" applyAlignment="1">
      <alignment horizontal="center" vertical="center"/>
    </xf>
    <xf numFmtId="0" fontId="0" fillId="4" borderId="36" xfId="0" applyFill="1" applyBorder="1" applyAlignment="1">
      <alignment horizontal="center" vertical="center"/>
    </xf>
    <xf numFmtId="164" fontId="0" fillId="3" borderId="26" xfId="1" applyNumberFormat="1" applyFont="1" applyFill="1" applyBorder="1" applyAlignment="1">
      <alignment horizontal="center" vertical="center"/>
    </xf>
    <xf numFmtId="0" fontId="0" fillId="8" borderId="36" xfId="0" applyFill="1" applyBorder="1" applyAlignment="1">
      <alignment horizontal="center" vertical="center"/>
    </xf>
    <xf numFmtId="0" fontId="0" fillId="8" borderId="26" xfId="0" applyFill="1" applyBorder="1" applyAlignment="1">
      <alignment horizontal="center" vertical="center"/>
    </xf>
    <xf numFmtId="0" fontId="0" fillId="4" borderId="46" xfId="0" applyFill="1" applyBorder="1" applyAlignment="1">
      <alignment horizontal="center"/>
    </xf>
    <xf numFmtId="0" fontId="0" fillId="4" borderId="48" xfId="0" applyFill="1" applyBorder="1" applyAlignment="1">
      <alignment horizontal="center"/>
    </xf>
    <xf numFmtId="1" fontId="7" fillId="5" borderId="30" xfId="0" applyNumberFormat="1" applyFont="1" applyFill="1" applyBorder="1" applyAlignment="1">
      <alignment horizontal="center" vertical="center"/>
    </xf>
    <xf numFmtId="0" fontId="10" fillId="6" borderId="74" xfId="0" applyFont="1" applyFill="1" applyBorder="1" applyAlignment="1">
      <alignment horizontal="center"/>
    </xf>
    <xf numFmtId="0" fontId="10" fillId="6" borderId="75" xfId="0" applyFont="1" applyFill="1" applyBorder="1" applyAlignment="1">
      <alignment horizontal="center"/>
    </xf>
    <xf numFmtId="0" fontId="10" fillId="6" borderId="76" xfId="0" applyFont="1" applyFill="1" applyBorder="1" applyAlignment="1">
      <alignment horizontal="center"/>
    </xf>
    <xf numFmtId="0" fontId="11" fillId="4" borderId="46" xfId="0" applyFont="1" applyFill="1" applyBorder="1" applyAlignment="1">
      <alignment horizontal="left" vertical="top" wrapText="1"/>
    </xf>
    <xf numFmtId="0" fontId="11" fillId="4" borderId="48" xfId="0" applyFont="1" applyFill="1" applyBorder="1" applyAlignment="1">
      <alignment horizontal="left" vertical="top" wrapText="1"/>
    </xf>
    <xf numFmtId="0" fontId="0" fillId="0" borderId="77" xfId="0" applyBorder="1" applyAlignment="1">
      <alignment horizontal="right"/>
    </xf>
    <xf numFmtId="2" fontId="7" fillId="5" borderId="56" xfId="0" applyNumberFormat="1" applyFont="1" applyFill="1" applyBorder="1" applyAlignment="1">
      <alignment horizontal="center" vertical="center"/>
    </xf>
    <xf numFmtId="2" fontId="7" fillId="5" borderId="26" xfId="0" applyNumberFormat="1" applyFont="1" applyFill="1" applyBorder="1" applyAlignment="1">
      <alignment horizontal="center" vertical="center"/>
    </xf>
    <xf numFmtId="2" fontId="7" fillId="5" borderId="32" xfId="0" applyNumberFormat="1" applyFont="1" applyFill="1" applyBorder="1" applyAlignment="1">
      <alignment horizontal="center" vertical="center"/>
    </xf>
    <xf numFmtId="0" fontId="14" fillId="0" borderId="0" xfId="0" applyFont="1" applyAlignment="1">
      <alignment horizontal="right" vertical="center"/>
    </xf>
    <xf numFmtId="0" fontId="14" fillId="0" borderId="2" xfId="0" applyFont="1" applyBorder="1" applyAlignment="1">
      <alignment horizontal="right" vertical="center"/>
    </xf>
    <xf numFmtId="0" fontId="6" fillId="6" borderId="24" xfId="0" applyFont="1" applyFill="1" applyBorder="1" applyAlignment="1">
      <alignment horizontal="center"/>
    </xf>
    <xf numFmtId="2" fontId="7" fillId="9" borderId="60" xfId="0" applyNumberFormat="1" applyFont="1" applyFill="1" applyBorder="1" applyAlignment="1">
      <alignment horizontal="center" vertical="center"/>
    </xf>
    <xf numFmtId="2" fontId="7" fillId="9" borderId="61" xfId="0" applyNumberFormat="1" applyFont="1" applyFill="1" applyBorder="1" applyAlignment="1">
      <alignment horizontal="center" vertical="center"/>
    </xf>
    <xf numFmtId="2" fontId="7" fillId="9" borderId="30" xfId="0" applyNumberFormat="1" applyFont="1" applyFill="1" applyBorder="1" applyAlignment="1">
      <alignment horizontal="center" vertical="center"/>
    </xf>
    <xf numFmtId="0" fontId="0" fillId="7" borderId="78" xfId="0" applyFill="1" applyBorder="1" applyAlignment="1">
      <alignment horizontal="center" vertical="center"/>
    </xf>
    <xf numFmtId="0" fontId="12" fillId="6" borderId="15" xfId="0" applyFont="1" applyFill="1" applyBorder="1" applyAlignment="1">
      <alignment horizontal="center" vertical="center"/>
    </xf>
    <xf numFmtId="0" fontId="12" fillId="6" borderId="10" xfId="0" applyFont="1" applyFill="1" applyBorder="1" applyAlignment="1">
      <alignment horizontal="center" vertical="center"/>
    </xf>
    <xf numFmtId="0" fontId="12" fillId="6" borderId="42" xfId="0" applyFont="1" applyFill="1" applyBorder="1" applyAlignment="1">
      <alignment horizontal="center" vertical="center"/>
    </xf>
    <xf numFmtId="0" fontId="12" fillId="6" borderId="25" xfId="0" applyFont="1" applyFill="1" applyBorder="1" applyAlignment="1">
      <alignment horizontal="center" vertical="center"/>
    </xf>
    <xf numFmtId="2" fontId="0" fillId="4" borderId="10" xfId="0" applyNumberFormat="1" applyFill="1" applyBorder="1" applyAlignment="1">
      <alignment horizontal="center" vertical="center"/>
    </xf>
    <xf numFmtId="0" fontId="0" fillId="4" borderId="73" xfId="0" applyFill="1" applyBorder="1"/>
    <xf numFmtId="0" fontId="0" fillId="4" borderId="50" xfId="0" applyFill="1" applyBorder="1"/>
    <xf numFmtId="0" fontId="0" fillId="8" borderId="73" xfId="0" applyFill="1" applyBorder="1"/>
    <xf numFmtId="0" fontId="0" fillId="8" borderId="50" xfId="0" applyFill="1" applyBorder="1"/>
    <xf numFmtId="0" fontId="4" fillId="0" borderId="17" xfId="0" applyFont="1" applyBorder="1" applyAlignment="1">
      <alignment horizontal="center" vertical="center"/>
    </xf>
    <xf numFmtId="0" fontId="4" fillId="0" borderId="0" xfId="0" applyFont="1" applyAlignment="1">
      <alignment horizontal="center" vertical="center"/>
    </xf>
    <xf numFmtId="2" fontId="7" fillId="0" borderId="0" xfId="0" applyNumberFormat="1" applyFont="1" applyAlignment="1">
      <alignment horizontal="right" vertical="center"/>
    </xf>
    <xf numFmtId="0" fontId="3" fillId="3" borderId="25" xfId="0" applyFont="1" applyFill="1" applyBorder="1" applyAlignment="1">
      <alignment horizontal="center" vertical="center"/>
    </xf>
    <xf numFmtId="2" fontId="7" fillId="7" borderId="10" xfId="0" applyNumberFormat="1" applyFont="1" applyFill="1" applyBorder="1" applyAlignment="1">
      <alignment horizontal="center" vertical="center"/>
    </xf>
    <xf numFmtId="0" fontId="0" fillId="0" borderId="0" xfId="0" applyBorder="1"/>
    <xf numFmtId="0" fontId="0" fillId="7" borderId="79" xfId="0" applyFill="1" applyBorder="1" applyAlignment="1">
      <alignment horizontal="center" vertical="center"/>
    </xf>
    <xf numFmtId="0" fontId="0" fillId="3" borderId="80" xfId="0" applyFill="1" applyBorder="1" applyAlignment="1">
      <alignment horizontal="center" vertical="center"/>
    </xf>
    <xf numFmtId="0" fontId="3" fillId="0" borderId="28" xfId="0" applyFont="1" applyBorder="1" applyAlignment="1">
      <alignment vertical="center"/>
    </xf>
    <xf numFmtId="0" fontId="0" fillId="0" borderId="28" xfId="0" applyBorder="1"/>
    <xf numFmtId="0" fontId="0" fillId="4" borderId="81" xfId="0" applyFill="1" applyBorder="1" applyAlignment="1">
      <alignment horizontal="center" vertical="center"/>
    </xf>
    <xf numFmtId="0" fontId="3" fillId="0" borderId="21" xfId="0" applyFont="1" applyBorder="1" applyAlignment="1">
      <alignment horizontal="right"/>
    </xf>
    <xf numFmtId="0" fontId="0" fillId="0" borderId="57" xfId="0" applyBorder="1" applyAlignment="1">
      <alignment horizontal="right"/>
    </xf>
    <xf numFmtId="0" fontId="3" fillId="0" borderId="55" xfId="0" applyFont="1" applyBorder="1" applyAlignment="1">
      <alignment horizontal="right"/>
    </xf>
    <xf numFmtId="0" fontId="3" fillId="0" borderId="28" xfId="0" applyFont="1" applyBorder="1" applyAlignment="1">
      <alignment horizontal="right" vertical="center"/>
    </xf>
    <xf numFmtId="0" fontId="3" fillId="0" borderId="27" xfId="0" applyFont="1" applyBorder="1" applyAlignment="1">
      <alignment vertical="center"/>
    </xf>
    <xf numFmtId="0" fontId="10" fillId="6" borderId="56" xfId="0" applyFont="1" applyFill="1" applyBorder="1" applyAlignment="1">
      <alignment horizontal="center"/>
    </xf>
    <xf numFmtId="0" fontId="3" fillId="3" borderId="42" xfId="0" applyFont="1" applyFill="1" applyBorder="1" applyAlignment="1">
      <alignment horizontal="center" vertical="center"/>
    </xf>
    <xf numFmtId="164" fontId="3" fillId="3" borderId="42" xfId="1" applyNumberFormat="1" applyFont="1" applyFill="1" applyBorder="1" applyAlignment="1">
      <alignment horizontal="center" vertical="center"/>
    </xf>
    <xf numFmtId="0" fontId="0" fillId="4" borderId="83" xfId="0" applyFill="1" applyBorder="1" applyAlignment="1">
      <alignment horizontal="center" vertical="center"/>
    </xf>
    <xf numFmtId="0" fontId="0" fillId="4" borderId="8" xfId="0" applyFill="1" applyBorder="1" applyAlignment="1">
      <alignment horizontal="center"/>
    </xf>
    <xf numFmtId="2" fontId="7" fillId="9" borderId="47" xfId="0" applyNumberFormat="1" applyFont="1" applyFill="1" applyBorder="1" applyAlignment="1">
      <alignment horizontal="center" vertical="center"/>
    </xf>
    <xf numFmtId="0" fontId="8" fillId="0" borderId="0" xfId="0" applyFont="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11" fillId="0" borderId="45" xfId="0" applyFont="1" applyBorder="1" applyAlignment="1">
      <alignment horizontal="left" vertical="top" wrapText="1"/>
    </xf>
    <xf numFmtId="0" fontId="11" fillId="0" borderId="18" xfId="0" applyFont="1" applyBorder="1" applyAlignment="1">
      <alignment horizontal="left" vertical="top" wrapText="1"/>
    </xf>
    <xf numFmtId="0" fontId="11" fillId="0" borderId="44" xfId="0" applyFont="1" applyBorder="1" applyAlignment="1">
      <alignment horizontal="left" vertical="top" wrapText="1"/>
    </xf>
    <xf numFmtId="0" fontId="11" fillId="0" borderId="17" xfId="0" applyFont="1" applyBorder="1" applyAlignment="1">
      <alignment horizontal="left" vertical="top" wrapText="1"/>
    </xf>
    <xf numFmtId="0" fontId="11" fillId="0" borderId="0" xfId="0" applyFont="1" applyAlignment="1">
      <alignment horizontal="left" vertical="top" wrapText="1"/>
    </xf>
    <xf numFmtId="0" fontId="11" fillId="0" borderId="16" xfId="0" applyFont="1" applyBorder="1" applyAlignment="1">
      <alignment horizontal="left" vertical="top" wrapText="1"/>
    </xf>
    <xf numFmtId="0" fontId="11" fillId="0" borderId="5" xfId="0" applyFont="1" applyBorder="1" applyAlignment="1">
      <alignment horizontal="left" vertical="top" wrapText="1"/>
    </xf>
    <xf numFmtId="0" fontId="11" fillId="0" borderId="2" xfId="0" applyFont="1" applyBorder="1" applyAlignment="1">
      <alignment horizontal="left" vertical="top" wrapText="1"/>
    </xf>
    <xf numFmtId="0" fontId="11" fillId="0" borderId="6" xfId="0" applyFont="1" applyBorder="1" applyAlignment="1">
      <alignment horizontal="left" vertical="top" wrapText="1"/>
    </xf>
    <xf numFmtId="0" fontId="25" fillId="2" borderId="3" xfId="0" applyFont="1" applyFill="1" applyBorder="1" applyAlignment="1">
      <alignment horizontal="center" vertical="center"/>
    </xf>
    <xf numFmtId="0" fontId="25" fillId="2" borderId="49" xfId="0" applyFont="1" applyFill="1" applyBorder="1" applyAlignment="1">
      <alignment horizontal="center" vertical="center"/>
    </xf>
    <xf numFmtId="0" fontId="25" fillId="2" borderId="34" xfId="0" applyFont="1" applyFill="1" applyBorder="1" applyAlignment="1">
      <alignment horizontal="center" vertical="center"/>
    </xf>
    <xf numFmtId="0" fontId="25" fillId="2" borderId="21" xfId="0" applyFont="1" applyFill="1" applyBorder="1" applyAlignment="1">
      <alignment horizontal="center" vertical="center"/>
    </xf>
    <xf numFmtId="0" fontId="25" fillId="2" borderId="45" xfId="0" applyFont="1" applyFill="1" applyBorder="1" applyAlignment="1">
      <alignment horizontal="center" vertical="center"/>
    </xf>
    <xf numFmtId="0" fontId="25" fillId="2" borderId="77" xfId="0" applyFont="1" applyFill="1" applyBorder="1" applyAlignment="1">
      <alignment horizontal="center" vertical="center"/>
    </xf>
    <xf numFmtId="0" fontId="12" fillId="0" borderId="45" xfId="0" applyFont="1" applyBorder="1" applyAlignment="1">
      <alignment horizontal="left" vertical="top" wrapText="1"/>
    </xf>
    <xf numFmtId="0" fontId="12" fillId="0" borderId="18" xfId="0" applyFont="1" applyBorder="1" applyAlignment="1">
      <alignment horizontal="left" vertical="top" wrapText="1"/>
    </xf>
    <xf numFmtId="0" fontId="12" fillId="0" borderId="44" xfId="0" applyFont="1" applyBorder="1" applyAlignment="1">
      <alignment horizontal="left" vertical="top" wrapText="1"/>
    </xf>
    <xf numFmtId="0" fontId="12" fillId="0" borderId="5" xfId="0" applyFont="1" applyBorder="1" applyAlignment="1">
      <alignment horizontal="left"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5" fillId="6" borderId="3" xfId="0" applyFont="1" applyFill="1" applyBorder="1" applyAlignment="1">
      <alignment horizontal="center"/>
    </xf>
    <xf numFmtId="0" fontId="15" fillId="6" borderId="1" xfId="0" applyFont="1" applyFill="1" applyBorder="1" applyAlignment="1">
      <alignment horizontal="center"/>
    </xf>
    <xf numFmtId="0" fontId="15" fillId="6" borderId="4" xfId="0" applyFont="1" applyFill="1" applyBorder="1" applyAlignment="1">
      <alignment horizontal="center"/>
    </xf>
    <xf numFmtId="0" fontId="11" fillId="0" borderId="3" xfId="0" applyFont="1" applyBorder="1" applyAlignment="1">
      <alignment horizontal="left" vertical="top" wrapText="1"/>
    </xf>
    <xf numFmtId="0" fontId="11" fillId="0" borderId="1" xfId="0" applyFont="1" applyBorder="1" applyAlignment="1">
      <alignment horizontal="left" vertical="top" wrapText="1"/>
    </xf>
    <xf numFmtId="0" fontId="11" fillId="0" borderId="4" xfId="0" applyFont="1" applyBorder="1" applyAlignment="1">
      <alignment horizontal="left" vertical="top" wrapText="1"/>
    </xf>
    <xf numFmtId="0" fontId="6" fillId="6" borderId="34" xfId="0" applyFont="1" applyFill="1" applyBorder="1" applyAlignment="1">
      <alignment horizontal="center"/>
    </xf>
    <xf numFmtId="0" fontId="6" fillId="6" borderId="20" xfId="0" applyFont="1" applyFill="1" applyBorder="1" applyAlignment="1">
      <alignment horizontal="center"/>
    </xf>
    <xf numFmtId="0" fontId="6" fillId="6" borderId="23" xfId="0" applyFont="1" applyFill="1" applyBorder="1" applyAlignment="1">
      <alignment horizontal="center"/>
    </xf>
    <xf numFmtId="0" fontId="6" fillId="6" borderId="24" xfId="0" applyFont="1" applyFill="1" applyBorder="1" applyAlignment="1">
      <alignment horizontal="center"/>
    </xf>
    <xf numFmtId="0" fontId="6" fillId="6" borderId="43" xfId="0" applyFont="1" applyFill="1" applyBorder="1" applyAlignment="1">
      <alignment horizontal="center"/>
    </xf>
    <xf numFmtId="0" fontId="11" fillId="0" borderId="82" xfId="0" applyFont="1" applyBorder="1" applyAlignment="1">
      <alignment horizontal="left" vertical="top" wrapText="1"/>
    </xf>
    <xf numFmtId="0" fontId="11" fillId="0" borderId="59" xfId="0" applyFont="1" applyBorder="1" applyAlignment="1">
      <alignment horizontal="left" vertical="top" wrapText="1"/>
    </xf>
    <xf numFmtId="0" fontId="6" fillId="6" borderId="25" xfId="0" applyFont="1" applyFill="1" applyBorder="1" applyAlignment="1">
      <alignment horizontal="center"/>
    </xf>
    <xf numFmtId="0" fontId="6" fillId="6" borderId="56" xfId="0" applyFont="1" applyFill="1" applyBorder="1" applyAlignment="1">
      <alignment horizontal="center"/>
    </xf>
    <xf numFmtId="0" fontId="11" fillId="0" borderId="54" xfId="0" applyFont="1" applyBorder="1" applyAlignment="1">
      <alignment horizontal="left" vertical="top" wrapText="1"/>
    </xf>
    <xf numFmtId="0" fontId="22" fillId="0" borderId="52" xfId="0" applyFont="1" applyBorder="1" applyAlignment="1">
      <alignment horizontal="right" vertical="center" wrapText="1"/>
    </xf>
    <xf numFmtId="0" fontId="22" fillId="0" borderId="15" xfId="0" applyFont="1" applyBorder="1" applyAlignment="1">
      <alignment horizontal="right" vertical="center" wrapText="1"/>
    </xf>
    <xf numFmtId="0" fontId="0" fillId="6" borderId="43" xfId="0" applyFill="1" applyBorder="1" applyAlignment="1">
      <alignment horizontal="center"/>
    </xf>
    <xf numFmtId="0" fontId="0" fillId="6" borderId="23" xfId="0" applyFill="1" applyBorder="1" applyAlignment="1">
      <alignment horizontal="center"/>
    </xf>
    <xf numFmtId="0" fontId="0" fillId="6" borderId="24" xfId="0" applyFill="1" applyBorder="1" applyAlignment="1">
      <alignment horizont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42" xfId="0" applyFill="1" applyBorder="1" applyAlignment="1">
      <alignment horizontal="center" vertical="center"/>
    </xf>
    <xf numFmtId="0" fontId="6" fillId="6" borderId="60" xfId="0" applyFont="1" applyFill="1" applyBorder="1" applyAlignment="1">
      <alignment horizontal="center"/>
    </xf>
    <xf numFmtId="0" fontId="6" fillId="6" borderId="21" xfId="0" applyFont="1" applyFill="1" applyBorder="1" applyAlignment="1">
      <alignment horizontal="center"/>
    </xf>
    <xf numFmtId="0" fontId="0" fillId="6" borderId="22" xfId="0" applyFill="1" applyBorder="1" applyAlignment="1">
      <alignment horizontal="center"/>
    </xf>
    <xf numFmtId="0" fontId="0" fillId="6" borderId="70" xfId="0" applyFill="1" applyBorder="1" applyAlignment="1">
      <alignment horizontal="center" vertical="center"/>
    </xf>
    <xf numFmtId="0" fontId="0" fillId="6" borderId="20" xfId="0" applyFill="1" applyBorder="1" applyAlignment="1">
      <alignment horizontal="center" vertical="center"/>
    </xf>
    <xf numFmtId="0" fontId="0" fillId="6" borderId="71" xfId="0" applyFill="1" applyBorder="1" applyAlignment="1">
      <alignment horizontal="center" vertical="center"/>
    </xf>
    <xf numFmtId="0" fontId="11" fillId="0" borderId="38" xfId="0" applyFont="1" applyBorder="1" applyAlignment="1">
      <alignment horizontal="left" vertical="top" wrapText="1"/>
    </xf>
    <xf numFmtId="0" fontId="11" fillId="0" borderId="39" xfId="0" applyFont="1" applyBorder="1" applyAlignment="1">
      <alignment horizontal="left" vertical="top" wrapText="1"/>
    </xf>
    <xf numFmtId="0" fontId="11" fillId="0" borderId="69" xfId="0" applyFont="1" applyBorder="1" applyAlignment="1">
      <alignment horizontal="left" vertical="top" wrapText="1"/>
    </xf>
    <xf numFmtId="0" fontId="11" fillId="0" borderId="64" xfId="0" applyFont="1" applyBorder="1" applyAlignment="1">
      <alignment horizontal="left" vertical="top" wrapText="1"/>
    </xf>
    <xf numFmtId="0" fontId="11" fillId="0" borderId="58" xfId="0" applyFont="1" applyBorder="1" applyAlignment="1">
      <alignment horizontal="left" vertical="top" wrapText="1"/>
    </xf>
    <xf numFmtId="0" fontId="11" fillId="0" borderId="65" xfId="0" applyFont="1" applyBorder="1" applyAlignment="1">
      <alignment horizontal="left" vertical="top" wrapText="1"/>
    </xf>
    <xf numFmtId="0" fontId="4" fillId="2" borderId="67" xfId="0" applyFont="1" applyFill="1" applyBorder="1" applyAlignment="1">
      <alignment horizontal="center" vertical="center"/>
    </xf>
    <xf numFmtId="0" fontId="4" fillId="2" borderId="68"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17" xfId="0" applyFont="1" applyBorder="1" applyAlignment="1">
      <alignment horizontal="left" vertical="center" wrapText="1"/>
    </xf>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6" xfId="0" applyFont="1" applyBorder="1" applyAlignment="1">
      <alignment horizontal="left" vertical="center" wrapText="1"/>
    </xf>
  </cellXfs>
  <cellStyles count="2">
    <cellStyle name="Normal" xfId="0" builtinId="0"/>
    <cellStyle name="Percent" xfId="1" builtinId="5"/>
  </cellStyles>
  <dxfs count="4">
    <dxf>
      <font>
        <b/>
        <i val="0"/>
        <color theme="0"/>
      </font>
      <fill>
        <patternFill>
          <bgColor rgb="FFCC0000"/>
        </patternFill>
      </fill>
    </dxf>
    <dxf>
      <font>
        <b/>
        <i val="0"/>
        <color theme="0"/>
      </font>
      <fill>
        <patternFill>
          <bgColor rgb="FFCC0000"/>
        </patternFill>
      </fill>
    </dxf>
    <dxf>
      <fill>
        <patternFill>
          <bgColor rgb="FFC00000"/>
        </patternFill>
      </fill>
    </dxf>
    <dxf>
      <font>
        <b/>
        <i val="0"/>
        <color theme="0"/>
      </font>
      <fill>
        <patternFill>
          <bgColor rgb="FFCC0000"/>
        </patternFill>
      </fill>
    </dxf>
  </dxfs>
  <tableStyles count="0" defaultTableStyle="TableStyleMedium2" defaultPivotStyle="PivotStyleLight16"/>
  <colors>
    <mruColors>
      <color rgb="FFFFFF99"/>
      <color rgb="FFFFFFCC"/>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C2DC3-9766-47D5-884C-67522DCA0CA3}">
  <dimension ref="A1:Z78"/>
  <sheetViews>
    <sheetView tabSelected="1" zoomScaleNormal="100" workbookViewId="0">
      <selection activeCell="B2" sqref="B2:J3"/>
    </sheetView>
  </sheetViews>
  <sheetFormatPr defaultRowHeight="15" x14ac:dyDescent="0.25"/>
  <cols>
    <col min="1" max="1" width="4.5703125" customWidth="1"/>
    <col min="2" max="6" width="11.42578125" customWidth="1"/>
    <col min="7" max="10" width="18.28515625" customWidth="1"/>
    <col min="11" max="11" width="4.5703125" customWidth="1"/>
    <col min="14" max="14" width="8.42578125" bestFit="1" customWidth="1"/>
    <col min="15" max="15" width="8.28515625" bestFit="1" customWidth="1"/>
    <col min="16" max="16" width="5.5703125" bestFit="1" customWidth="1"/>
    <col min="17" max="17" width="6.42578125" bestFit="1" customWidth="1"/>
    <col min="18" max="18" width="5.5703125" bestFit="1" customWidth="1"/>
    <col min="19" max="19" width="6" bestFit="1" customWidth="1"/>
    <col min="20" max="20" width="5.85546875" bestFit="1" customWidth="1"/>
    <col min="21" max="21" width="6.7109375" bestFit="1" customWidth="1"/>
    <col min="22" max="22" width="6.85546875" bestFit="1" customWidth="1"/>
    <col min="23" max="23" width="7.7109375" bestFit="1" customWidth="1"/>
    <col min="24" max="24" width="5.140625" bestFit="1" customWidth="1"/>
    <col min="25" max="25" width="6" bestFit="1" customWidth="1"/>
    <col min="26" max="26" width="12.7109375" bestFit="1" customWidth="1"/>
  </cols>
  <sheetData>
    <row r="1" spans="1:26" ht="15.75" thickBot="1" x14ac:dyDescent="0.3"/>
    <row r="2" spans="1:26" ht="15" customHeight="1" thickBot="1" x14ac:dyDescent="0.3">
      <c r="B2" s="155" t="s">
        <v>164</v>
      </c>
      <c r="C2" s="156"/>
      <c r="D2" s="156"/>
      <c r="E2" s="156"/>
      <c r="F2" s="156"/>
      <c r="G2" s="156"/>
      <c r="H2" s="156"/>
      <c r="I2" s="156"/>
      <c r="J2" s="157"/>
      <c r="N2" s="182" t="s">
        <v>67</v>
      </c>
      <c r="O2" s="183"/>
      <c r="P2" s="183"/>
      <c r="Q2" s="183"/>
      <c r="R2" s="183"/>
      <c r="S2" s="183"/>
      <c r="T2" s="183"/>
      <c r="U2" s="183"/>
      <c r="V2" s="183"/>
      <c r="W2" s="183"/>
      <c r="X2" s="183"/>
      <c r="Y2" s="183"/>
      <c r="Z2" s="184"/>
    </row>
    <row r="3" spans="1:26" ht="15.75" customHeight="1" thickBot="1" x14ac:dyDescent="0.3">
      <c r="B3" s="158"/>
      <c r="C3" s="159"/>
      <c r="D3" s="159"/>
      <c r="E3" s="159"/>
      <c r="F3" s="159"/>
      <c r="G3" s="159"/>
      <c r="H3" s="159"/>
      <c r="I3" s="159"/>
      <c r="J3" s="160"/>
      <c r="N3" s="63" t="s">
        <v>63</v>
      </c>
      <c r="O3" s="64" t="s">
        <v>64</v>
      </c>
      <c r="P3" s="65" t="s">
        <v>12</v>
      </c>
      <c r="Q3" s="64" t="s">
        <v>13</v>
      </c>
      <c r="R3" s="65" t="s">
        <v>18</v>
      </c>
      <c r="S3" s="64" t="s">
        <v>19</v>
      </c>
      <c r="T3" s="65" t="s">
        <v>14</v>
      </c>
      <c r="U3" s="64" t="s">
        <v>15</v>
      </c>
      <c r="V3" s="65" t="s">
        <v>16</v>
      </c>
      <c r="W3" s="64" t="s">
        <v>17</v>
      </c>
      <c r="X3" s="65" t="s">
        <v>20</v>
      </c>
      <c r="Y3" s="64" t="s">
        <v>21</v>
      </c>
      <c r="Z3" s="68" t="s">
        <v>11</v>
      </c>
    </row>
    <row r="4" spans="1:26" ht="15.75" thickBot="1" x14ac:dyDescent="0.3">
      <c r="B4" s="28"/>
      <c r="C4" s="29"/>
      <c r="D4" s="107" t="s">
        <v>58</v>
      </c>
      <c r="E4" s="108" t="s">
        <v>59</v>
      </c>
      <c r="F4" s="109" t="s">
        <v>60</v>
      </c>
      <c r="G4" s="109" t="s">
        <v>140</v>
      </c>
      <c r="H4" s="53" t="s">
        <v>61</v>
      </c>
      <c r="I4" s="51" t="s">
        <v>62</v>
      </c>
      <c r="J4" s="52" t="s">
        <v>65</v>
      </c>
      <c r="N4" s="69">
        <v>0</v>
      </c>
      <c r="O4" s="70">
        <v>0</v>
      </c>
      <c r="P4" s="71">
        <v>0</v>
      </c>
      <c r="Q4" s="72">
        <v>0</v>
      </c>
      <c r="R4" s="71">
        <v>0</v>
      </c>
      <c r="S4" s="72">
        <v>0</v>
      </c>
      <c r="T4" s="71">
        <v>0</v>
      </c>
      <c r="U4" s="72">
        <v>0</v>
      </c>
      <c r="V4" s="71">
        <v>0</v>
      </c>
      <c r="W4" s="72">
        <v>0</v>
      </c>
      <c r="X4" s="71">
        <v>0</v>
      </c>
      <c r="Y4" s="72">
        <v>0</v>
      </c>
      <c r="Z4" s="66" t="s">
        <v>26</v>
      </c>
    </row>
    <row r="5" spans="1:26" ht="15.75" thickBot="1" x14ac:dyDescent="0.3">
      <c r="B5" s="15"/>
      <c r="C5" s="116" t="s">
        <v>54</v>
      </c>
      <c r="D5" s="57" t="str">
        <f>H11</f>
        <v>―</v>
      </c>
      <c r="E5" s="54">
        <v>35</v>
      </c>
      <c r="F5" s="58">
        <f>100-SUM(F6:F9)</f>
        <v>100</v>
      </c>
      <c r="G5" s="113" t="str">
        <f>IF(D5="―","―",IF(E5=F5,D5,D5*(F5/E5)))</f>
        <v>―</v>
      </c>
      <c r="H5" s="106" t="str">
        <f>IF(D5="―","―",SUM(G5:G9))</f>
        <v>―</v>
      </c>
      <c r="I5" s="12" t="str">
        <f>IF($D$5="―","Not Rated",IF(AND(VLOOKUP($H$5,N$3:$Z$8,13,TRUE)="Excellent",$G$12&lt;0.95,$G$12&lt;&gt;"―"),"Good",VLOOKUP($H$5,N$3:$Z$8,13,TRUE)))</f>
        <v>Not Rated</v>
      </c>
      <c r="J5" s="13" t="str">
        <f>IF($D$5="―","Not Rated",IF(AND(VLOOKUP($H$5,O$3:$Z$8,12,TRUE)="Excellent",$G$12&lt;0.95,$G$12&lt;&gt;"―"),"Good",VLOOKUP($H$5,O$3:$Z$8,12,TRUE)))</f>
        <v>Not Rated</v>
      </c>
      <c r="N5" s="69">
        <v>33.5</v>
      </c>
      <c r="O5" s="70">
        <v>28.5</v>
      </c>
      <c r="P5" s="71">
        <v>9.6199999999999992</v>
      </c>
      <c r="Q5" s="72">
        <v>8.3699999999999992</v>
      </c>
      <c r="R5" s="71">
        <v>9.66</v>
      </c>
      <c r="S5" s="72">
        <v>10.15</v>
      </c>
      <c r="T5" s="71">
        <v>3.22</v>
      </c>
      <c r="U5" s="72">
        <v>3.23</v>
      </c>
      <c r="V5" s="71">
        <v>2</v>
      </c>
      <c r="W5" s="72">
        <v>2</v>
      </c>
      <c r="X5" s="71">
        <v>5.72</v>
      </c>
      <c r="Y5" s="72">
        <v>4.38</v>
      </c>
      <c r="Z5" s="66" t="s">
        <v>25</v>
      </c>
    </row>
    <row r="6" spans="1:26" x14ac:dyDescent="0.25">
      <c r="B6" s="15"/>
      <c r="C6" s="116" t="s">
        <v>55</v>
      </c>
      <c r="D6" s="59" t="str">
        <f>H26</f>
        <v>―</v>
      </c>
      <c r="E6" s="55">
        <v>35</v>
      </c>
      <c r="F6" s="60" t="str">
        <f>IF(OR(D5="―",D6="―"),"―",E6+((SUM(E7:E9)-SUM(F7:F9))/2))</f>
        <v>―</v>
      </c>
      <c r="G6" s="114" t="str">
        <f t="shared" ref="G6:G9" si="0">IF(D6="―","―",IF(E6=F6,D6,D6*(F6/E6)))</f>
        <v>―</v>
      </c>
      <c r="H6" s="185" t="s">
        <v>131</v>
      </c>
      <c r="I6" s="186"/>
      <c r="J6" s="187"/>
      <c r="N6" s="69">
        <v>41.5</v>
      </c>
      <c r="O6" s="70">
        <v>35.5</v>
      </c>
      <c r="P6" s="71">
        <v>13.36</v>
      </c>
      <c r="Q6" s="72">
        <v>12</v>
      </c>
      <c r="R6" s="71">
        <v>13.36</v>
      </c>
      <c r="S6" s="72">
        <v>13.38</v>
      </c>
      <c r="T6" s="71">
        <v>4.3499999999999996</v>
      </c>
      <c r="U6" s="72">
        <v>4.41</v>
      </c>
      <c r="V6" s="71">
        <v>4</v>
      </c>
      <c r="W6" s="72">
        <v>4</v>
      </c>
      <c r="X6" s="71">
        <v>6.71</v>
      </c>
      <c r="Y6" s="72">
        <v>5.45</v>
      </c>
      <c r="Z6" s="66" t="s">
        <v>24</v>
      </c>
    </row>
    <row r="7" spans="1:26" x14ac:dyDescent="0.25">
      <c r="B7" s="15"/>
      <c r="C7" s="116" t="s">
        <v>56</v>
      </c>
      <c r="D7" s="59" t="str">
        <f>H57</f>
        <v>―</v>
      </c>
      <c r="E7" s="55">
        <v>10</v>
      </c>
      <c r="F7" s="60" t="str">
        <f>IF(D7="―","―",E7)</f>
        <v>―</v>
      </c>
      <c r="G7" s="114" t="str">
        <f t="shared" si="0"/>
        <v>―</v>
      </c>
      <c r="H7" s="164"/>
      <c r="I7" s="165"/>
      <c r="J7" s="166"/>
      <c r="N7" s="69">
        <v>52.5</v>
      </c>
      <c r="O7" s="70">
        <v>47.5</v>
      </c>
      <c r="P7" s="71">
        <v>18.55</v>
      </c>
      <c r="Q7" s="72">
        <v>16.72</v>
      </c>
      <c r="R7" s="71">
        <v>17.920000000000002</v>
      </c>
      <c r="S7" s="72">
        <v>17.18</v>
      </c>
      <c r="T7" s="71">
        <v>5.76</v>
      </c>
      <c r="U7" s="72">
        <v>5.75</v>
      </c>
      <c r="V7" s="71">
        <v>6</v>
      </c>
      <c r="W7" s="72">
        <v>6</v>
      </c>
      <c r="X7" s="71">
        <v>7.64</v>
      </c>
      <c r="Y7" s="72">
        <v>6.63</v>
      </c>
      <c r="Z7" s="66" t="s">
        <v>23</v>
      </c>
    </row>
    <row r="8" spans="1:26" ht="15.75" thickBot="1" x14ac:dyDescent="0.3">
      <c r="B8" s="15"/>
      <c r="C8" s="116" t="s">
        <v>53</v>
      </c>
      <c r="D8" s="59" t="str">
        <f>H69</f>
        <v>―</v>
      </c>
      <c r="E8" s="55">
        <v>10</v>
      </c>
      <c r="F8" s="60" t="str">
        <f t="shared" ref="F8:F9" si="1">IF(D8="―","―",E8)</f>
        <v>―</v>
      </c>
      <c r="G8" s="114" t="str">
        <f t="shared" si="0"/>
        <v>―</v>
      </c>
      <c r="H8" s="164"/>
      <c r="I8" s="165"/>
      <c r="J8" s="166"/>
      <c r="N8" s="73">
        <v>60.5</v>
      </c>
      <c r="O8" s="74">
        <v>55.5</v>
      </c>
      <c r="P8" s="75">
        <v>21.43</v>
      </c>
      <c r="Q8" s="76">
        <v>20.100000000000001</v>
      </c>
      <c r="R8" s="75">
        <v>21.45</v>
      </c>
      <c r="S8" s="76">
        <v>20.14</v>
      </c>
      <c r="T8" s="75">
        <v>6.54</v>
      </c>
      <c r="U8" s="76">
        <v>6.64</v>
      </c>
      <c r="V8" s="75">
        <v>8</v>
      </c>
      <c r="W8" s="76">
        <v>8</v>
      </c>
      <c r="X8" s="75">
        <v>8.2100000000000009</v>
      </c>
      <c r="Y8" s="76">
        <v>7.43</v>
      </c>
      <c r="Z8" s="67" t="s">
        <v>22</v>
      </c>
    </row>
    <row r="9" spans="1:26" ht="15.75" thickBot="1" x14ac:dyDescent="0.3">
      <c r="B9" s="47"/>
      <c r="C9" s="117" t="s">
        <v>57</v>
      </c>
      <c r="D9" s="11" t="str">
        <f>IF(ISBLANK(H74),"―",H74)</f>
        <v>―</v>
      </c>
      <c r="E9" s="56">
        <v>10</v>
      </c>
      <c r="F9" s="61" t="str">
        <f t="shared" si="1"/>
        <v>―</v>
      </c>
      <c r="G9" s="115" t="str">
        <f t="shared" si="0"/>
        <v>―</v>
      </c>
      <c r="H9" s="167"/>
      <c r="I9" s="168"/>
      <c r="J9" s="169"/>
      <c r="L9" s="62"/>
    </row>
    <row r="10" spans="1:26" x14ac:dyDescent="0.25">
      <c r="A10" s="154"/>
      <c r="B10" s="155" t="s">
        <v>0</v>
      </c>
      <c r="C10" s="156"/>
      <c r="D10" s="156"/>
      <c r="E10" s="156"/>
      <c r="F10" s="156"/>
      <c r="G10" s="157"/>
      <c r="H10" s="53" t="s">
        <v>28</v>
      </c>
      <c r="I10" s="51" t="s">
        <v>29</v>
      </c>
      <c r="J10" s="52" t="s">
        <v>30</v>
      </c>
    </row>
    <row r="11" spans="1:26" ht="15" customHeight="1" thickBot="1" x14ac:dyDescent="0.3">
      <c r="A11" s="154"/>
      <c r="B11" s="158"/>
      <c r="C11" s="159"/>
      <c r="D11" s="159"/>
      <c r="E11" s="159"/>
      <c r="F11" s="159"/>
      <c r="G11" s="160"/>
      <c r="H11" s="11" t="str">
        <f>IF(J13&lt;20,"―",IF(G12&lt;0.95,-5,0)+(35*(SUM(H15*3,H16*2,H17,I15*3,I16*2,I17)/(3*SUM(H15:I19)))))</f>
        <v>―</v>
      </c>
      <c r="I11" s="12" t="str">
        <f>IF($H$11="―","Not Rated",VLOOKUP($H11,P$3:$Z$8,11,TRUE))</f>
        <v>Not Rated</v>
      </c>
      <c r="J11" s="13" t="str">
        <f>IF($H$11="―","Not Rated",VLOOKUP($H11,Q$3:$Z$8,10,TRUE))</f>
        <v>Not Rated</v>
      </c>
    </row>
    <row r="12" spans="1:26" ht="15" customHeight="1" x14ac:dyDescent="0.25">
      <c r="B12" s="16"/>
      <c r="C12" s="17"/>
      <c r="D12" s="17"/>
      <c r="E12" s="17"/>
      <c r="F12" s="18" t="s">
        <v>31</v>
      </c>
      <c r="G12" s="40" t="str">
        <f>IF(J13&lt;20,"―",SUM(H15:I18)/SUM(H15:I19))</f>
        <v>―</v>
      </c>
      <c r="H12" s="30" t="s">
        <v>6</v>
      </c>
      <c r="I12" s="30" t="s">
        <v>7</v>
      </c>
      <c r="J12" s="31" t="s">
        <v>10</v>
      </c>
    </row>
    <row r="13" spans="1:26" x14ac:dyDescent="0.25">
      <c r="B13" s="15"/>
      <c r="G13" s="7" t="s">
        <v>9</v>
      </c>
      <c r="H13" s="20">
        <f>SUM(H15:H19)</f>
        <v>0</v>
      </c>
      <c r="I13" s="20">
        <f>SUM(I15:I19)</f>
        <v>0</v>
      </c>
      <c r="J13" s="23">
        <f>SUM(H13:I13)</f>
        <v>0</v>
      </c>
    </row>
    <row r="14" spans="1:26" x14ac:dyDescent="0.25">
      <c r="B14" s="15"/>
      <c r="G14" s="7" t="s">
        <v>8</v>
      </c>
      <c r="H14" s="21" t="str">
        <f>IF(H13&lt;20,"―",SUM(H15:H16)/H13)</f>
        <v>―</v>
      </c>
      <c r="I14" s="21" t="str">
        <f>IF(I13&lt;20,"―",SUM(I15:I16)/I13)</f>
        <v>―</v>
      </c>
      <c r="J14" s="24" t="str">
        <f>IF(J13&lt;20,"―",SUM(J15:J16)/J13)</f>
        <v>―</v>
      </c>
    </row>
    <row r="15" spans="1:26" x14ac:dyDescent="0.25">
      <c r="B15" s="15"/>
      <c r="G15" s="8" t="s">
        <v>1</v>
      </c>
      <c r="H15" s="41"/>
      <c r="I15" s="1"/>
      <c r="J15" s="23" t="str">
        <f>IF(SUM(H15:I15)=0,"―",SUM(H15:I15))</f>
        <v>―</v>
      </c>
    </row>
    <row r="16" spans="1:26" x14ac:dyDescent="0.25">
      <c r="B16" s="15"/>
      <c r="G16" s="8" t="s">
        <v>4</v>
      </c>
      <c r="H16" s="4"/>
      <c r="I16" s="2"/>
      <c r="J16" s="23" t="str">
        <f t="shared" ref="J16:J19" si="2">IF(SUM(H16:I16)=0,"―",SUM(H16:I16))</f>
        <v>―</v>
      </c>
    </row>
    <row r="17" spans="1:10" x14ac:dyDescent="0.25">
      <c r="B17" s="15"/>
      <c r="G17" s="8" t="s">
        <v>3</v>
      </c>
      <c r="H17" s="4"/>
      <c r="I17" s="2"/>
      <c r="J17" s="23" t="str">
        <f t="shared" si="2"/>
        <v>―</v>
      </c>
    </row>
    <row r="18" spans="1:10" x14ac:dyDescent="0.25">
      <c r="B18" s="15"/>
      <c r="G18" s="8" t="s">
        <v>2</v>
      </c>
      <c r="H18" s="4"/>
      <c r="I18" s="2"/>
      <c r="J18" s="23" t="str">
        <f t="shared" si="2"/>
        <v>―</v>
      </c>
    </row>
    <row r="19" spans="1:10" x14ac:dyDescent="0.25">
      <c r="B19" s="15"/>
      <c r="G19" s="10" t="s">
        <v>5</v>
      </c>
      <c r="H19" s="6"/>
      <c r="I19" s="19"/>
      <c r="J19" s="32" t="str">
        <f t="shared" si="2"/>
        <v>―</v>
      </c>
    </row>
    <row r="20" spans="1:10" ht="15" customHeight="1" x14ac:dyDescent="0.25">
      <c r="B20" s="161" t="s">
        <v>48</v>
      </c>
      <c r="C20" s="162"/>
      <c r="D20" s="162"/>
      <c r="E20" s="162"/>
      <c r="F20" s="162"/>
      <c r="G20" s="162"/>
      <c r="H20" s="162"/>
      <c r="I20" s="162"/>
      <c r="J20" s="163"/>
    </row>
    <row r="21" spans="1:10" ht="15" customHeight="1" x14ac:dyDescent="0.25">
      <c r="B21" s="164"/>
      <c r="C21" s="165"/>
      <c r="D21" s="165"/>
      <c r="E21" s="165"/>
      <c r="F21" s="165"/>
      <c r="G21" s="165"/>
      <c r="H21" s="165"/>
      <c r="I21" s="165"/>
      <c r="J21" s="166"/>
    </row>
    <row r="22" spans="1:10" ht="15.75" customHeight="1" x14ac:dyDescent="0.25">
      <c r="B22" s="164"/>
      <c r="C22" s="165"/>
      <c r="D22" s="165"/>
      <c r="E22" s="165"/>
      <c r="F22" s="165"/>
      <c r="G22" s="165"/>
      <c r="H22" s="165"/>
      <c r="I22" s="165"/>
      <c r="J22" s="166"/>
    </row>
    <row r="23" spans="1:10" ht="15.75" customHeight="1" x14ac:dyDescent="0.25">
      <c r="B23" s="164"/>
      <c r="C23" s="165"/>
      <c r="D23" s="165"/>
      <c r="E23" s="165"/>
      <c r="F23" s="165"/>
      <c r="G23" s="165"/>
      <c r="H23" s="165"/>
      <c r="I23" s="165"/>
      <c r="J23" s="166"/>
    </row>
    <row r="24" spans="1:10" ht="15.75" customHeight="1" thickBot="1" x14ac:dyDescent="0.3">
      <c r="B24" s="164"/>
      <c r="C24" s="165"/>
      <c r="D24" s="165"/>
      <c r="E24" s="165"/>
      <c r="F24" s="165"/>
      <c r="G24" s="165"/>
      <c r="H24" s="165"/>
      <c r="I24" s="165"/>
      <c r="J24" s="166"/>
    </row>
    <row r="25" spans="1:10" x14ac:dyDescent="0.25">
      <c r="A25" s="154"/>
      <c r="B25" s="155" t="s">
        <v>27</v>
      </c>
      <c r="C25" s="156"/>
      <c r="D25" s="156"/>
      <c r="E25" s="156"/>
      <c r="F25" s="156"/>
      <c r="G25" s="157"/>
      <c r="H25" s="53" t="s">
        <v>28</v>
      </c>
      <c r="I25" s="51" t="s">
        <v>29</v>
      </c>
      <c r="J25" s="52" t="s">
        <v>30</v>
      </c>
    </row>
    <row r="26" spans="1:10" ht="15.75" thickBot="1" x14ac:dyDescent="0.3">
      <c r="A26" s="154"/>
      <c r="B26" s="158"/>
      <c r="C26" s="159"/>
      <c r="D26" s="159"/>
      <c r="E26" s="159"/>
      <c r="F26" s="159"/>
      <c r="G26" s="160"/>
      <c r="H26" s="11" t="str">
        <f>IF(AND(J28="―",J39="―"),"―",AVERAGE(J28,J39))</f>
        <v>―</v>
      </c>
      <c r="I26" s="12" t="str">
        <f>IF($H$26="―","Not Rated",VLOOKUP($H26,R$3:$Z$8,9,TRUE))</f>
        <v>Not Rated</v>
      </c>
      <c r="J26" s="13" t="str">
        <f>IF($H$26="―","Not Rated",VLOOKUP($H26,S$3:$Z$8,8,TRUE))</f>
        <v>Not Rated</v>
      </c>
    </row>
    <row r="27" spans="1:10" x14ac:dyDescent="0.25">
      <c r="B27" s="170" t="s">
        <v>6</v>
      </c>
      <c r="C27" s="171"/>
      <c r="D27" s="123" t="s">
        <v>142</v>
      </c>
      <c r="E27" s="123" t="s">
        <v>144</v>
      </c>
      <c r="F27" s="123" t="s">
        <v>145</v>
      </c>
      <c r="G27" s="126" t="s">
        <v>147</v>
      </c>
      <c r="H27" s="126" t="s">
        <v>146</v>
      </c>
      <c r="I27" s="123" t="s">
        <v>148</v>
      </c>
      <c r="J27" s="125" t="s">
        <v>156</v>
      </c>
    </row>
    <row r="28" spans="1:10" x14ac:dyDescent="0.25">
      <c r="B28" s="172"/>
      <c r="C28" s="173"/>
      <c r="D28" s="20">
        <f>SUM(G30:H35)</f>
        <v>0</v>
      </c>
      <c r="E28" s="21" t="str">
        <f>IF(D28&lt;20,"―",SUM(H30:H35)/D28)</f>
        <v>―</v>
      </c>
      <c r="F28" s="21" t="str">
        <f>IF(D28&lt;20,"―",SUM(I30:I35)/D28)</f>
        <v>―</v>
      </c>
      <c r="G28" s="127"/>
      <c r="H28" s="136" t="str">
        <f>IF(D28&lt;20,"―",MAX(MIN(7*(((SUM(H30:H35)+SUM(I30*2,I31*3,I32*5,I33*7,I34*10,I35*13)+SUM(J30*0.55,J31*0.9,J32*1.625,J33*2.45,J34*3.75,J35*5.2))/D28)-1),35),0))</f>
        <v>―</v>
      </c>
      <c r="I28" s="136" t="str">
        <f>IF(D28&lt;20,"―",MAX(MIN(F28*100*(35/65),35),0))</f>
        <v>―</v>
      </c>
      <c r="J28" s="153" t="str">
        <f>IF(AND(D28&lt;20,ISBLANK(G28)),"―",IF(H28="―",G28,AVERAGE(G28:I28)))</f>
        <v>―</v>
      </c>
    </row>
    <row r="29" spans="1:10" x14ac:dyDescent="0.25">
      <c r="B29" s="188" t="s">
        <v>41</v>
      </c>
      <c r="C29" s="189"/>
      <c r="D29" s="190"/>
      <c r="E29" s="190"/>
      <c r="F29" s="191"/>
      <c r="G29" s="118" t="s">
        <v>37</v>
      </c>
      <c r="H29" s="118" t="s">
        <v>38</v>
      </c>
      <c r="I29" s="118" t="s">
        <v>39</v>
      </c>
      <c r="J29" s="34" t="s">
        <v>40</v>
      </c>
    </row>
    <row r="30" spans="1:10" x14ac:dyDescent="0.25">
      <c r="B30" s="87"/>
      <c r="C30" s="85"/>
      <c r="D30" s="85"/>
      <c r="E30" s="85"/>
      <c r="F30" s="112" t="s">
        <v>32</v>
      </c>
      <c r="G30" s="122"/>
      <c r="H30" s="122"/>
      <c r="I30" s="122"/>
      <c r="J30" s="36" t="str">
        <f>IF($D$28=0,"―",H30-I30)</f>
        <v>―</v>
      </c>
    </row>
    <row r="31" spans="1:10" x14ac:dyDescent="0.25">
      <c r="B31" s="15"/>
      <c r="F31" s="8" t="s">
        <v>154</v>
      </c>
      <c r="G31" s="39"/>
      <c r="H31" s="39"/>
      <c r="I31" s="39"/>
      <c r="J31" s="37" t="str">
        <f t="shared" ref="J31:J35" si="3">IF($D$28=0,"―",H31-I31)</f>
        <v>―</v>
      </c>
    </row>
    <row r="32" spans="1:10" x14ac:dyDescent="0.25">
      <c r="B32" s="15"/>
      <c r="F32" s="8" t="s">
        <v>33</v>
      </c>
      <c r="G32" s="39"/>
      <c r="H32" s="39"/>
      <c r="I32" s="39"/>
      <c r="J32" s="37" t="str">
        <f t="shared" si="3"/>
        <v>―</v>
      </c>
    </row>
    <row r="33" spans="2:10" x14ac:dyDescent="0.25">
      <c r="B33" s="15"/>
      <c r="F33" s="8" t="s">
        <v>34</v>
      </c>
      <c r="G33" s="39"/>
      <c r="H33" s="39"/>
      <c r="I33" s="39"/>
      <c r="J33" s="37" t="str">
        <f t="shared" si="3"/>
        <v>―</v>
      </c>
    </row>
    <row r="34" spans="2:10" x14ac:dyDescent="0.25">
      <c r="B34" s="15"/>
      <c r="F34" s="8" t="s">
        <v>35</v>
      </c>
      <c r="G34" s="39"/>
      <c r="H34" s="39"/>
      <c r="I34" s="39"/>
      <c r="J34" s="37" t="str">
        <f t="shared" si="3"/>
        <v>―</v>
      </c>
    </row>
    <row r="35" spans="2:10" x14ac:dyDescent="0.25">
      <c r="B35" s="15"/>
      <c r="D35" s="137"/>
      <c r="E35" s="137"/>
      <c r="F35" s="8" t="s">
        <v>36</v>
      </c>
      <c r="G35" s="138"/>
      <c r="H35" s="138"/>
      <c r="I35" s="138"/>
      <c r="J35" s="139" t="str">
        <f t="shared" si="3"/>
        <v>―</v>
      </c>
    </row>
    <row r="36" spans="2:10" x14ac:dyDescent="0.25">
      <c r="B36" s="176" t="s">
        <v>163</v>
      </c>
      <c r="C36" s="177"/>
      <c r="D36" s="177"/>
      <c r="E36" s="177"/>
      <c r="F36" s="177"/>
      <c r="G36" s="177"/>
      <c r="H36" s="177"/>
      <c r="I36" s="177"/>
      <c r="J36" s="178"/>
    </row>
    <row r="37" spans="2:10" ht="15.75" thickBot="1" x14ac:dyDescent="0.3">
      <c r="B37" s="179"/>
      <c r="C37" s="180"/>
      <c r="D37" s="180"/>
      <c r="E37" s="180"/>
      <c r="F37" s="180"/>
      <c r="G37" s="180"/>
      <c r="H37" s="180"/>
      <c r="I37" s="180"/>
      <c r="J37" s="181"/>
    </row>
    <row r="38" spans="2:10" x14ac:dyDescent="0.25">
      <c r="B38" s="174" t="s">
        <v>157</v>
      </c>
      <c r="C38" s="175"/>
      <c r="D38" s="123" t="s">
        <v>143</v>
      </c>
      <c r="E38" s="124" t="s">
        <v>149</v>
      </c>
      <c r="F38" s="124" t="s">
        <v>150</v>
      </c>
      <c r="G38" s="124" t="s">
        <v>153</v>
      </c>
      <c r="H38" s="124" t="s">
        <v>151</v>
      </c>
      <c r="I38" s="123" t="s">
        <v>152</v>
      </c>
      <c r="J38" s="125" t="s">
        <v>155</v>
      </c>
    </row>
    <row r="39" spans="2:10" x14ac:dyDescent="0.25">
      <c r="B39" s="172"/>
      <c r="C39" s="173"/>
      <c r="D39" s="20">
        <f>SUM(G41:H46)</f>
        <v>0</v>
      </c>
      <c r="E39" s="21" t="str">
        <f>IF(SUM(D38:D39)=0,"―",SUM(H41:H46,H50:H55)/SUM($D39,$D48))</f>
        <v>―</v>
      </c>
      <c r="F39" s="21" t="str">
        <f>IF(SUM(D38:D39)=0,"―",SUM(I41:I46,I50:I55)/SUM($D39,$D48))</f>
        <v>―</v>
      </c>
      <c r="G39" s="127"/>
      <c r="H39" s="25" t="str">
        <f>IF(D39&lt;20,"―",MAX(MIN(7*(((SUM(H41:H46)+SUM(I41*2,I42*3,I43*5,I44*7,I45*10,I46*13)+SUM(J41*0.55,J42*0.9,J43*1.625,J44*2.45,J45*3.75,J46*5.2))/D39)-1),35),0))</f>
        <v>―</v>
      </c>
      <c r="I39" s="25" t="str">
        <f>IF(D39&lt;20,"―",MAX(MIN(F39*100*(35/65),35),0))</f>
        <v>―</v>
      </c>
      <c r="J39" s="153" t="str">
        <f>IF(AND(D39&lt;20,ISBLANK(G39)),"―",IF(H39="―",G39,AVERAGE(G39:I39)))</f>
        <v>―</v>
      </c>
    </row>
    <row r="40" spans="2:10" x14ac:dyDescent="0.25">
      <c r="B40" s="192" t="s">
        <v>42</v>
      </c>
      <c r="C40" s="190"/>
      <c r="D40" s="190"/>
      <c r="E40" s="190"/>
      <c r="F40" s="191"/>
      <c r="G40" s="118" t="s">
        <v>43</v>
      </c>
      <c r="H40" s="118" t="s">
        <v>44</v>
      </c>
      <c r="I40" s="118" t="s">
        <v>45</v>
      </c>
      <c r="J40" s="34" t="s">
        <v>46</v>
      </c>
    </row>
    <row r="41" spans="2:10" x14ac:dyDescent="0.25">
      <c r="B41" s="87"/>
      <c r="C41" s="85"/>
      <c r="D41" s="85"/>
      <c r="E41" s="85"/>
      <c r="F41" s="112" t="s">
        <v>32</v>
      </c>
      <c r="G41" s="152"/>
      <c r="H41" s="27"/>
      <c r="I41" s="3"/>
      <c r="J41" s="36" t="str">
        <f>IF($D$39=0,"―",H41-I41)</f>
        <v>―</v>
      </c>
    </row>
    <row r="42" spans="2:10" x14ac:dyDescent="0.25">
      <c r="B42" s="15"/>
      <c r="F42" s="8" t="s">
        <v>154</v>
      </c>
      <c r="G42" s="152"/>
      <c r="H42" s="26"/>
      <c r="I42" s="5"/>
      <c r="J42" s="37" t="str">
        <f t="shared" ref="J42:J46" si="4">IF($D$39=0,"―",H42-I42)</f>
        <v>―</v>
      </c>
    </row>
    <row r="43" spans="2:10" x14ac:dyDescent="0.25">
      <c r="B43" s="15"/>
      <c r="F43" s="8" t="s">
        <v>33</v>
      </c>
      <c r="G43" s="152"/>
      <c r="H43" s="26"/>
      <c r="I43" s="5"/>
      <c r="J43" s="37" t="str">
        <f t="shared" si="4"/>
        <v>―</v>
      </c>
    </row>
    <row r="44" spans="2:10" x14ac:dyDescent="0.25">
      <c r="B44" s="15"/>
      <c r="F44" s="8" t="s">
        <v>34</v>
      </c>
      <c r="G44" s="152"/>
      <c r="H44" s="26"/>
      <c r="I44" s="5"/>
      <c r="J44" s="37" t="str">
        <f t="shared" si="4"/>
        <v>―</v>
      </c>
    </row>
    <row r="45" spans="2:10" x14ac:dyDescent="0.25">
      <c r="B45" s="15"/>
      <c r="F45" s="8" t="s">
        <v>35</v>
      </c>
      <c r="G45" s="152"/>
      <c r="H45" s="26"/>
      <c r="I45" s="5"/>
      <c r="J45" s="37" t="str">
        <f t="shared" si="4"/>
        <v>―</v>
      </c>
    </row>
    <row r="46" spans="2:10" x14ac:dyDescent="0.25">
      <c r="B46" s="35"/>
      <c r="C46" s="9"/>
      <c r="D46" s="9"/>
      <c r="E46" s="9"/>
      <c r="F46" s="10" t="s">
        <v>36</v>
      </c>
      <c r="G46" s="152"/>
      <c r="H46" s="26"/>
      <c r="I46" s="5"/>
      <c r="J46" s="38" t="str">
        <f t="shared" si="4"/>
        <v>―</v>
      </c>
    </row>
    <row r="47" spans="2:10" ht="15" customHeight="1" x14ac:dyDescent="0.25">
      <c r="B47" s="161" t="s">
        <v>158</v>
      </c>
      <c r="C47" s="162"/>
      <c r="D47" s="162"/>
      <c r="E47" s="162"/>
      <c r="F47" s="162"/>
      <c r="G47" s="162"/>
      <c r="H47" s="162"/>
      <c r="I47" s="162"/>
      <c r="J47" s="163"/>
    </row>
    <row r="48" spans="2:10" ht="15" customHeight="1" x14ac:dyDescent="0.25">
      <c r="B48" s="164"/>
      <c r="C48" s="165"/>
      <c r="D48" s="165"/>
      <c r="E48" s="165"/>
      <c r="F48" s="165"/>
      <c r="G48" s="165"/>
      <c r="H48" s="165"/>
      <c r="I48" s="165"/>
      <c r="J48" s="166"/>
    </row>
    <row r="49" spans="2:10" ht="15" customHeight="1" x14ac:dyDescent="0.25">
      <c r="B49" s="164"/>
      <c r="C49" s="165"/>
      <c r="D49" s="165"/>
      <c r="E49" s="165"/>
      <c r="F49" s="165"/>
      <c r="G49" s="165"/>
      <c r="H49" s="165"/>
      <c r="I49" s="165"/>
      <c r="J49" s="166"/>
    </row>
    <row r="50" spans="2:10" ht="15" customHeight="1" x14ac:dyDescent="0.25">
      <c r="B50" s="164"/>
      <c r="C50" s="165"/>
      <c r="D50" s="165"/>
      <c r="E50" s="165"/>
      <c r="F50" s="165"/>
      <c r="G50" s="165"/>
      <c r="H50" s="165"/>
      <c r="I50" s="165"/>
      <c r="J50" s="166"/>
    </row>
    <row r="51" spans="2:10" ht="15" customHeight="1" x14ac:dyDescent="0.25">
      <c r="B51" s="164"/>
      <c r="C51" s="165"/>
      <c r="D51" s="165"/>
      <c r="E51" s="165"/>
      <c r="F51" s="165"/>
      <c r="G51" s="165"/>
      <c r="H51" s="165"/>
      <c r="I51" s="165"/>
      <c r="J51" s="166"/>
    </row>
    <row r="52" spans="2:10" ht="15" customHeight="1" x14ac:dyDescent="0.25">
      <c r="B52" s="164"/>
      <c r="C52" s="165"/>
      <c r="D52" s="165"/>
      <c r="E52" s="165"/>
      <c r="F52" s="165"/>
      <c r="G52" s="165"/>
      <c r="H52" s="165"/>
      <c r="I52" s="165"/>
      <c r="J52" s="166"/>
    </row>
    <row r="53" spans="2:10" x14ac:dyDescent="0.25">
      <c r="B53" s="164"/>
      <c r="C53" s="165"/>
      <c r="D53" s="165"/>
      <c r="E53" s="165"/>
      <c r="F53" s="165"/>
      <c r="G53" s="165"/>
      <c r="H53" s="165"/>
      <c r="I53" s="165"/>
      <c r="J53" s="166"/>
    </row>
    <row r="54" spans="2:10" x14ac:dyDescent="0.25">
      <c r="B54" s="164"/>
      <c r="C54" s="165"/>
      <c r="D54" s="165"/>
      <c r="E54" s="165"/>
      <c r="F54" s="165"/>
      <c r="G54" s="165"/>
      <c r="H54" s="165"/>
      <c r="I54" s="165"/>
      <c r="J54" s="166"/>
    </row>
    <row r="55" spans="2:10" ht="15.75" thickBot="1" x14ac:dyDescent="0.3">
      <c r="B55" s="167"/>
      <c r="C55" s="168"/>
      <c r="D55" s="168"/>
      <c r="E55" s="168"/>
      <c r="F55" s="168"/>
      <c r="G55" s="168"/>
      <c r="H55" s="168"/>
      <c r="I55" s="168"/>
      <c r="J55" s="169"/>
    </row>
    <row r="56" spans="2:10" x14ac:dyDescent="0.25">
      <c r="B56" s="155" t="s">
        <v>47</v>
      </c>
      <c r="C56" s="156"/>
      <c r="D56" s="156"/>
      <c r="E56" s="156"/>
      <c r="F56" s="156"/>
      <c r="G56" s="157"/>
      <c r="H56" s="53" t="s">
        <v>28</v>
      </c>
      <c r="I56" s="51" t="s">
        <v>29</v>
      </c>
      <c r="J56" s="52" t="s">
        <v>30</v>
      </c>
    </row>
    <row r="57" spans="2:10" ht="15.75" thickBot="1" x14ac:dyDescent="0.3">
      <c r="B57" s="158"/>
      <c r="C57" s="159"/>
      <c r="D57" s="159"/>
      <c r="E57" s="159"/>
      <c r="F57" s="159"/>
      <c r="G57" s="160"/>
      <c r="H57" s="11" t="str">
        <f>IF(AND(NOT(ISERROR(10*(SUM(J61*3,J62*2,J63)/(3*SUM(J61:J65))))),J59&gt;=20),10*(SUM(J61*3,J62*2,J63)/(3*SUM(J61:J65))),"―")</f>
        <v>―</v>
      </c>
      <c r="I57" s="12" t="str">
        <f>IF(OR(ISERROR(VLOOKUP($H57,T$3:$Z$8,7,TRUE)),J59&lt;20),"Not Rated",VLOOKUP($H57,T$3:$Z$8,7,TRUE))</f>
        <v>Not Rated</v>
      </c>
      <c r="J57" s="13" t="str">
        <f>IF(OR(ISERROR(VLOOKUP($H57,U$3:$Z$8,6,TRUE)),J59&lt;20),"Not Rated",VLOOKUP($H57,U$3:$Z$8,6,TRUE))</f>
        <v>Not Rated</v>
      </c>
    </row>
    <row r="58" spans="2:10" x14ac:dyDescent="0.25">
      <c r="B58" s="147"/>
      <c r="C58" s="140"/>
      <c r="D58" s="140"/>
      <c r="E58" s="141"/>
      <c r="F58" s="140"/>
      <c r="G58" s="141"/>
      <c r="H58" s="146" t="s">
        <v>31</v>
      </c>
      <c r="I58" s="40" t="str">
        <f>IF(J59&lt;20,"―",SUM(J61:J64)/J59)</f>
        <v>―</v>
      </c>
      <c r="J58" s="148" t="s">
        <v>49</v>
      </c>
    </row>
    <row r="59" spans="2:10" x14ac:dyDescent="0.25">
      <c r="B59" s="15"/>
      <c r="C59" s="137"/>
      <c r="D59" s="137"/>
      <c r="E59" s="137"/>
      <c r="F59" s="137"/>
      <c r="G59" s="137"/>
      <c r="H59" s="137"/>
      <c r="I59" s="7" t="s">
        <v>9</v>
      </c>
      <c r="J59" s="149">
        <f>SUM(J61:J65)</f>
        <v>0</v>
      </c>
    </row>
    <row r="60" spans="2:10" x14ac:dyDescent="0.25">
      <c r="B60" s="15"/>
      <c r="C60" s="137"/>
      <c r="D60" s="137"/>
      <c r="E60" s="137"/>
      <c r="F60" s="137"/>
      <c r="G60" s="137"/>
      <c r="H60" s="137"/>
      <c r="I60" s="7" t="s">
        <v>8</v>
      </c>
      <c r="J60" s="150" t="str">
        <f>IF(NOT(ISERROR(SUM(J61:J62)/J59)),SUM(J61:J62)/J59,"―")</f>
        <v>―</v>
      </c>
    </row>
    <row r="61" spans="2:10" x14ac:dyDescent="0.25">
      <c r="B61" s="15"/>
      <c r="C61" s="137"/>
      <c r="D61" s="137"/>
      <c r="E61" s="137"/>
      <c r="F61" s="137"/>
      <c r="G61" s="137"/>
      <c r="H61" s="137"/>
      <c r="I61" s="8" t="s">
        <v>1</v>
      </c>
      <c r="J61" s="151"/>
    </row>
    <row r="62" spans="2:10" x14ac:dyDescent="0.25">
      <c r="B62" s="15"/>
      <c r="C62" s="137"/>
      <c r="D62" s="137"/>
      <c r="E62" s="137"/>
      <c r="F62" s="137"/>
      <c r="G62" s="137"/>
      <c r="H62" s="137"/>
      <c r="I62" s="8" t="s">
        <v>4</v>
      </c>
      <c r="J62" s="151"/>
    </row>
    <row r="63" spans="2:10" x14ac:dyDescent="0.25">
      <c r="B63" s="15"/>
      <c r="C63" s="137"/>
      <c r="D63" s="137"/>
      <c r="E63" s="137"/>
      <c r="F63" s="137"/>
      <c r="G63" s="137"/>
      <c r="H63" s="137"/>
      <c r="I63" s="8" t="s">
        <v>3</v>
      </c>
      <c r="J63" s="151"/>
    </row>
    <row r="64" spans="2:10" x14ac:dyDescent="0.25">
      <c r="B64" s="15"/>
      <c r="C64" s="137"/>
      <c r="D64" s="137"/>
      <c r="E64" s="137"/>
      <c r="F64" s="137"/>
      <c r="G64" s="137"/>
      <c r="H64" s="137"/>
      <c r="I64" s="8" t="s">
        <v>2</v>
      </c>
      <c r="J64" s="151"/>
    </row>
    <row r="65" spans="2:10" x14ac:dyDescent="0.25">
      <c r="B65" s="35"/>
      <c r="C65" s="9"/>
      <c r="D65" s="9"/>
      <c r="E65" s="137"/>
      <c r="F65" s="9"/>
      <c r="G65" s="137"/>
      <c r="H65" s="9"/>
      <c r="I65" s="10" t="s">
        <v>5</v>
      </c>
      <c r="J65" s="151"/>
    </row>
    <row r="66" spans="2:10" ht="15" customHeight="1" x14ac:dyDescent="0.25">
      <c r="B66" s="176" t="s">
        <v>138</v>
      </c>
      <c r="C66" s="177"/>
      <c r="D66" s="177"/>
      <c r="E66" s="177"/>
      <c r="F66" s="177"/>
      <c r="G66" s="177"/>
      <c r="H66" s="177"/>
      <c r="I66" s="177"/>
      <c r="J66" s="178"/>
    </row>
    <row r="67" spans="2:10" ht="15.75" thickBot="1" x14ac:dyDescent="0.3">
      <c r="B67" s="179"/>
      <c r="C67" s="180"/>
      <c r="D67" s="180"/>
      <c r="E67" s="180"/>
      <c r="F67" s="180"/>
      <c r="G67" s="180"/>
      <c r="H67" s="180"/>
      <c r="I67" s="180"/>
      <c r="J67" s="181"/>
    </row>
    <row r="68" spans="2:10" ht="14.45" customHeight="1" x14ac:dyDescent="0.25">
      <c r="B68" s="155" t="s">
        <v>50</v>
      </c>
      <c r="C68" s="156"/>
      <c r="D68" s="156"/>
      <c r="E68" s="156"/>
      <c r="F68" s="156"/>
      <c r="G68" s="157"/>
      <c r="H68" s="51" t="s">
        <v>28</v>
      </c>
      <c r="I68" s="51" t="s">
        <v>29</v>
      </c>
      <c r="J68" s="52" t="s">
        <v>30</v>
      </c>
    </row>
    <row r="69" spans="2:10" ht="15" customHeight="1" thickBot="1" x14ac:dyDescent="0.3">
      <c r="B69" s="158"/>
      <c r="C69" s="159"/>
      <c r="D69" s="159"/>
      <c r="E69" s="159"/>
      <c r="F69" s="159"/>
      <c r="G69" s="160"/>
      <c r="H69" s="14" t="str">
        <f>IF(H71&lt;20,"―",J70*10)</f>
        <v>―</v>
      </c>
      <c r="I69" s="12" t="str">
        <f>IF($H$69="―","Not Rated",VLOOKUP($H$69,V$3:$Z$8,5,TRUE))</f>
        <v>Not Rated</v>
      </c>
      <c r="J69" s="13" t="str">
        <f>IF($H$69="―","Not Rated",VLOOKUP($H$69,W$3:$Z$8,4,TRUE))</f>
        <v>Not Rated</v>
      </c>
    </row>
    <row r="70" spans="2:10" x14ac:dyDescent="0.25">
      <c r="B70" s="43"/>
      <c r="C70" s="44"/>
      <c r="D70" s="44"/>
      <c r="E70" s="44"/>
      <c r="F70" s="44"/>
      <c r="G70" s="82" t="s">
        <v>159</v>
      </c>
      <c r="H70" s="142"/>
      <c r="I70" s="143" t="s">
        <v>51</v>
      </c>
      <c r="J70" s="99" t="str">
        <f>IF(H71=0,"―",H70/H71)</f>
        <v>―</v>
      </c>
    </row>
    <row r="71" spans="2:10" ht="15.75" customHeight="1" x14ac:dyDescent="0.25">
      <c r="B71" s="15"/>
      <c r="G71" s="8" t="s">
        <v>160</v>
      </c>
      <c r="H71" s="26"/>
      <c r="I71" s="193" t="s">
        <v>161</v>
      </c>
      <c r="J71" s="163"/>
    </row>
    <row r="72" spans="2:10" ht="15.75" thickBot="1" x14ac:dyDescent="0.3">
      <c r="B72" s="47"/>
      <c r="C72" s="48"/>
      <c r="D72" s="48"/>
      <c r="E72" s="48"/>
      <c r="F72" s="48"/>
      <c r="G72" s="144" t="s">
        <v>162</v>
      </c>
      <c r="H72" s="49"/>
      <c r="I72" s="194"/>
      <c r="J72" s="169"/>
    </row>
    <row r="73" spans="2:10" x14ac:dyDescent="0.25">
      <c r="B73" s="155" t="s">
        <v>52</v>
      </c>
      <c r="C73" s="156"/>
      <c r="D73" s="156"/>
      <c r="E73" s="156"/>
      <c r="F73" s="156"/>
      <c r="G73" s="157"/>
      <c r="H73" s="53" t="s">
        <v>28</v>
      </c>
      <c r="I73" s="51" t="s">
        <v>29</v>
      </c>
      <c r="J73" s="52" t="s">
        <v>30</v>
      </c>
    </row>
    <row r="74" spans="2:10" ht="15.75" thickBot="1" x14ac:dyDescent="0.3">
      <c r="B74" s="158"/>
      <c r="C74" s="159"/>
      <c r="D74" s="159"/>
      <c r="E74" s="159"/>
      <c r="F74" s="159"/>
      <c r="G74" s="160"/>
      <c r="H74" s="50"/>
      <c r="I74" s="12" t="str">
        <f>IF(ISBLANK($H$74),"Not Rated",VLOOKUP($H74,X$3:$Z$8,3,TRUE))</f>
        <v>Not Rated</v>
      </c>
      <c r="J74" s="13" t="str">
        <f>IF(ISBLANK($H$74),"Not Rated",VLOOKUP($H74,Y$3:$Z$8,2,TRUE))</f>
        <v>Not Rated</v>
      </c>
    </row>
    <row r="75" spans="2:10" ht="15" customHeight="1" x14ac:dyDescent="0.25">
      <c r="B75" s="185" t="s">
        <v>66</v>
      </c>
      <c r="C75" s="186"/>
      <c r="D75" s="186"/>
      <c r="E75" s="186"/>
      <c r="F75" s="186"/>
      <c r="G75" s="186"/>
      <c r="H75" s="186"/>
      <c r="I75" s="186"/>
      <c r="J75" s="187"/>
    </row>
    <row r="76" spans="2:10" x14ac:dyDescent="0.25">
      <c r="B76" s="164"/>
      <c r="C76" s="165"/>
      <c r="D76" s="165"/>
      <c r="E76" s="165"/>
      <c r="F76" s="165"/>
      <c r="G76" s="165"/>
      <c r="H76" s="165"/>
      <c r="I76" s="165"/>
      <c r="J76" s="166"/>
    </row>
    <row r="77" spans="2:10" x14ac:dyDescent="0.25">
      <c r="B77" s="164"/>
      <c r="C77" s="165"/>
      <c r="D77" s="165"/>
      <c r="E77" s="165"/>
      <c r="F77" s="165"/>
      <c r="G77" s="165"/>
      <c r="H77" s="165"/>
      <c r="I77" s="165"/>
      <c r="J77" s="166"/>
    </row>
    <row r="78" spans="2:10" ht="15.75" thickBot="1" x14ac:dyDescent="0.3">
      <c r="B78" s="167"/>
      <c r="C78" s="168"/>
      <c r="D78" s="168"/>
      <c r="E78" s="168"/>
      <c r="F78" s="168"/>
      <c r="G78" s="168"/>
      <c r="H78" s="168"/>
      <c r="I78" s="168"/>
      <c r="J78" s="169"/>
    </row>
  </sheetData>
  <mergeCells count="20">
    <mergeCell ref="N2:Z2"/>
    <mergeCell ref="B73:G74"/>
    <mergeCell ref="B75:J78"/>
    <mergeCell ref="B2:J3"/>
    <mergeCell ref="H6:J9"/>
    <mergeCell ref="B10:G11"/>
    <mergeCell ref="B56:G57"/>
    <mergeCell ref="B66:J67"/>
    <mergeCell ref="B29:F29"/>
    <mergeCell ref="B40:F40"/>
    <mergeCell ref="B68:G69"/>
    <mergeCell ref="I71:J72"/>
    <mergeCell ref="A10:A11"/>
    <mergeCell ref="A25:A26"/>
    <mergeCell ref="B25:G26"/>
    <mergeCell ref="B20:J24"/>
    <mergeCell ref="B47:J55"/>
    <mergeCell ref="B27:C28"/>
    <mergeCell ref="B38:C39"/>
    <mergeCell ref="B36:J37"/>
  </mergeCells>
  <conditionalFormatting sqref="G12 I58">
    <cfRule type="cellIs" dxfId="3" priority="4" operator="between">
      <formula>0.000001</formula>
      <formula>0.9445</formula>
    </cfRule>
  </conditionalFormatting>
  <conditionalFormatting sqref="I41">
    <cfRule type="expression" dxfId="2" priority="2">
      <formula>"&gt;$H$37"</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53D9E-11EB-4C5E-81CC-502CFE13DC17}">
  <dimension ref="A1:V100"/>
  <sheetViews>
    <sheetView zoomScaleNormal="100" workbookViewId="0">
      <selection activeCell="B4" sqref="B4"/>
    </sheetView>
  </sheetViews>
  <sheetFormatPr defaultRowHeight="15" x14ac:dyDescent="0.25"/>
  <cols>
    <col min="1" max="1" width="4.5703125" customWidth="1"/>
    <col min="2" max="7" width="12.28515625" customWidth="1"/>
    <col min="8" max="10" width="18.28515625" customWidth="1"/>
    <col min="11" max="11" width="4.5703125" customWidth="1"/>
    <col min="14" max="14" width="7.7109375" bestFit="1" customWidth="1"/>
    <col min="15" max="15" width="5.85546875" bestFit="1" customWidth="1"/>
    <col min="16" max="16" width="6.140625" bestFit="1" customWidth="1"/>
    <col min="17" max="17" width="5.85546875" bestFit="1" customWidth="1"/>
    <col min="18" max="18" width="6.7109375" bestFit="1" customWidth="1"/>
    <col min="19" max="19" width="5.28515625" bestFit="1" customWidth="1"/>
    <col min="20" max="20" width="7.140625" bestFit="1" customWidth="1"/>
    <col min="21" max="21" width="5.42578125" bestFit="1" customWidth="1"/>
    <col min="22" max="22" width="12.7109375" bestFit="1" customWidth="1"/>
  </cols>
  <sheetData>
    <row r="1" spans="1:22" ht="15.75" thickBot="1" x14ac:dyDescent="0.3"/>
    <row r="2" spans="1:22" ht="15" customHeight="1" thickBot="1" x14ac:dyDescent="0.3">
      <c r="B2" s="155" t="s">
        <v>165</v>
      </c>
      <c r="C2" s="156"/>
      <c r="D2" s="156"/>
      <c r="E2" s="156"/>
      <c r="F2" s="156"/>
      <c r="G2" s="156"/>
      <c r="H2" s="156"/>
      <c r="I2" s="156"/>
      <c r="J2" s="157"/>
      <c r="N2" s="182" t="s">
        <v>67</v>
      </c>
      <c r="O2" s="183"/>
      <c r="P2" s="183"/>
      <c r="Q2" s="183"/>
      <c r="R2" s="183"/>
      <c r="S2" s="183"/>
      <c r="T2" s="183"/>
      <c r="U2" s="183"/>
      <c r="V2" s="184"/>
    </row>
    <row r="3" spans="1:22" ht="15.75" customHeight="1" thickBot="1" x14ac:dyDescent="0.3">
      <c r="B3" s="158"/>
      <c r="C3" s="159"/>
      <c r="D3" s="159"/>
      <c r="E3" s="159"/>
      <c r="F3" s="159"/>
      <c r="G3" s="159"/>
      <c r="H3" s="159"/>
      <c r="I3" s="159"/>
      <c r="J3" s="160"/>
      <c r="N3" s="63" t="s">
        <v>68</v>
      </c>
      <c r="O3" s="77" t="s">
        <v>69</v>
      </c>
      <c r="P3" s="77" t="s">
        <v>70</v>
      </c>
      <c r="Q3" s="77" t="s">
        <v>73</v>
      </c>
      <c r="R3" s="77" t="s">
        <v>74</v>
      </c>
      <c r="S3" s="77" t="s">
        <v>75</v>
      </c>
      <c r="T3" s="77" t="s">
        <v>72</v>
      </c>
      <c r="U3" s="64" t="s">
        <v>71</v>
      </c>
      <c r="V3" s="68" t="s">
        <v>11</v>
      </c>
    </row>
    <row r="4" spans="1:22" ht="15.75" thickBot="1" x14ac:dyDescent="0.3">
      <c r="B4" s="28"/>
      <c r="C4" s="29"/>
      <c r="D4" s="107" t="s">
        <v>58</v>
      </c>
      <c r="E4" s="108" t="s">
        <v>59</v>
      </c>
      <c r="F4" s="109" t="s">
        <v>60</v>
      </c>
      <c r="G4" s="109" t="s">
        <v>141</v>
      </c>
      <c r="H4" s="218" t="s">
        <v>91</v>
      </c>
      <c r="I4" s="53" t="s">
        <v>61</v>
      </c>
      <c r="J4" s="52" t="s">
        <v>90</v>
      </c>
      <c r="N4" s="69">
        <v>0</v>
      </c>
      <c r="O4" s="78">
        <v>0</v>
      </c>
      <c r="P4" s="78">
        <v>0</v>
      </c>
      <c r="Q4" s="78">
        <v>0</v>
      </c>
      <c r="R4" s="78">
        <v>0</v>
      </c>
      <c r="S4" s="78">
        <v>0</v>
      </c>
      <c r="T4" s="78">
        <v>0</v>
      </c>
      <c r="U4" s="72">
        <v>0</v>
      </c>
      <c r="V4" s="66" t="s">
        <v>26</v>
      </c>
    </row>
    <row r="5" spans="1:22" ht="15.75" thickBot="1" x14ac:dyDescent="0.3">
      <c r="B5" s="15"/>
      <c r="C5" s="116" t="s">
        <v>54</v>
      </c>
      <c r="D5" s="119" t="str">
        <f>I13</f>
        <v>―</v>
      </c>
      <c r="E5" s="54">
        <v>25</v>
      </c>
      <c r="F5" s="58" t="str">
        <f>IF(D5="―","―",IF(D7="―",100-SUM(F6,F8:F11),E5+((SUM(E6,E8:E11)-SUM(F6,F8:F11))/2)))</f>
        <v>―</v>
      </c>
      <c r="G5" s="113" t="str">
        <f t="shared" ref="G5:G11" si="0">IF(D5="―","―",IF(E5=F5,D5,D5*(F5/E5)))</f>
        <v>―</v>
      </c>
      <c r="H5" s="219"/>
      <c r="I5" s="106" t="str">
        <f>IF(AND(D5="―",D7="―"),"―",SUM(G5:G11))</f>
        <v>―</v>
      </c>
      <c r="J5" s="13" t="str">
        <f>IF(I5="―","Not Rated",VLOOKUP(I5,N3:V8,9,TRUE))</f>
        <v>Not Rated</v>
      </c>
      <c r="N5" s="69">
        <v>39.5</v>
      </c>
      <c r="O5" s="78">
        <v>7.22</v>
      </c>
      <c r="P5" s="78">
        <v>2.42</v>
      </c>
      <c r="Q5" s="78">
        <v>7.6</v>
      </c>
      <c r="R5" s="78">
        <v>6.46</v>
      </c>
      <c r="S5" s="78">
        <v>4.8</v>
      </c>
      <c r="T5" s="78">
        <v>2</v>
      </c>
      <c r="U5" s="72">
        <v>2.3199999999999998</v>
      </c>
      <c r="V5" s="66" t="s">
        <v>25</v>
      </c>
    </row>
    <row r="6" spans="1:22" ht="15" customHeight="1" x14ac:dyDescent="0.25">
      <c r="B6" s="15"/>
      <c r="C6" s="116" t="s">
        <v>56</v>
      </c>
      <c r="D6" s="120" t="str">
        <f>I31</f>
        <v>―</v>
      </c>
      <c r="E6" s="55">
        <v>10</v>
      </c>
      <c r="F6" s="60" t="str">
        <f>IF(D6="―","―",E6)</f>
        <v>―</v>
      </c>
      <c r="G6" s="114" t="str">
        <f t="shared" si="0"/>
        <v>―</v>
      </c>
      <c r="H6" s="220" t="s">
        <v>139</v>
      </c>
      <c r="I6" s="221"/>
      <c r="J6" s="222"/>
      <c r="N6" s="69">
        <v>50.5</v>
      </c>
      <c r="O6" s="78">
        <v>10.220000000000001</v>
      </c>
      <c r="P6" s="78">
        <v>3.74</v>
      </c>
      <c r="Q6" s="78">
        <v>10.130000000000001</v>
      </c>
      <c r="R6" s="78">
        <v>9.5</v>
      </c>
      <c r="S6" s="78">
        <v>6.4</v>
      </c>
      <c r="T6" s="78">
        <v>4</v>
      </c>
      <c r="U6" s="72">
        <v>2.79</v>
      </c>
      <c r="V6" s="66" t="s">
        <v>24</v>
      </c>
    </row>
    <row r="7" spans="1:22" x14ac:dyDescent="0.25">
      <c r="B7" s="15"/>
      <c r="C7" s="116" t="s">
        <v>77</v>
      </c>
      <c r="D7" s="120" t="str">
        <f>I47</f>
        <v>―</v>
      </c>
      <c r="E7" s="55">
        <v>19</v>
      </c>
      <c r="F7" s="60" t="str">
        <f>IF(D7="―","―",IF(D5="―",100-SUM(F6,F8:F11),E7+((SUM(E6,E8:E11)-SUM(F6,F8:F11))/2)))</f>
        <v>―</v>
      </c>
      <c r="G7" s="114" t="str">
        <f t="shared" si="0"/>
        <v>―</v>
      </c>
      <c r="H7" s="223"/>
      <c r="I7" s="224"/>
      <c r="J7" s="225"/>
      <c r="N7" s="69">
        <v>59.5</v>
      </c>
      <c r="O7" s="78">
        <v>13.45</v>
      </c>
      <c r="P7" s="78">
        <v>5.3</v>
      </c>
      <c r="Q7" s="78">
        <v>12.67</v>
      </c>
      <c r="R7" s="78">
        <v>12.92</v>
      </c>
      <c r="S7" s="78">
        <v>8</v>
      </c>
      <c r="T7" s="78">
        <v>6</v>
      </c>
      <c r="U7" s="72">
        <v>3.4</v>
      </c>
      <c r="V7" s="66" t="s">
        <v>23</v>
      </c>
    </row>
    <row r="8" spans="1:22" ht="15.75" thickBot="1" x14ac:dyDescent="0.3">
      <c r="B8" s="15"/>
      <c r="C8" s="116" t="s">
        <v>78</v>
      </c>
      <c r="D8" s="120" t="str">
        <f>I52</f>
        <v>―</v>
      </c>
      <c r="E8" s="55">
        <v>19</v>
      </c>
      <c r="F8" s="60" t="str">
        <f>IF(D8="―","―",E8)</f>
        <v>―</v>
      </c>
      <c r="G8" s="114" t="str">
        <f t="shared" si="0"/>
        <v>―</v>
      </c>
      <c r="H8" s="223"/>
      <c r="I8" s="224"/>
      <c r="J8" s="225"/>
      <c r="N8" s="73">
        <v>66.5</v>
      </c>
      <c r="O8" s="79">
        <v>15.91</v>
      </c>
      <c r="P8" s="79">
        <v>6.2</v>
      </c>
      <c r="Q8" s="79">
        <v>15.2</v>
      </c>
      <c r="R8" s="79">
        <v>14.82</v>
      </c>
      <c r="S8" s="79">
        <v>9.6</v>
      </c>
      <c r="T8" s="79">
        <v>8</v>
      </c>
      <c r="U8" s="76">
        <v>3.76</v>
      </c>
      <c r="V8" s="67" t="s">
        <v>22</v>
      </c>
    </row>
    <row r="9" spans="1:22" x14ac:dyDescent="0.25">
      <c r="B9" s="15"/>
      <c r="C9" s="116" t="s">
        <v>76</v>
      </c>
      <c r="D9" s="120" t="str">
        <f>I67</f>
        <v>―</v>
      </c>
      <c r="E9" s="55">
        <v>12</v>
      </c>
      <c r="F9" s="60" t="str">
        <f>IF(D9="―","―",E9)</f>
        <v>―</v>
      </c>
      <c r="G9" s="114" t="str">
        <f t="shared" si="0"/>
        <v>―</v>
      </c>
      <c r="H9" s="223"/>
      <c r="I9" s="224"/>
      <c r="J9" s="225"/>
      <c r="L9" s="62"/>
    </row>
    <row r="10" spans="1:22" x14ac:dyDescent="0.25">
      <c r="B10" s="15"/>
      <c r="C10" s="116" t="s">
        <v>53</v>
      </c>
      <c r="D10" s="120" t="str">
        <f>I80</f>
        <v>―</v>
      </c>
      <c r="E10" s="55">
        <v>10</v>
      </c>
      <c r="F10" s="60" t="str">
        <f>IF(D10="―","―",E10)</f>
        <v>―</v>
      </c>
      <c r="G10" s="114" t="str">
        <f t="shared" si="0"/>
        <v>―</v>
      </c>
      <c r="H10" s="223"/>
      <c r="I10" s="224"/>
      <c r="J10" s="225"/>
    </row>
    <row r="11" spans="1:22" ht="15" customHeight="1" thickBot="1" x14ac:dyDescent="0.3">
      <c r="B11" s="47"/>
      <c r="C11" s="117" t="s">
        <v>57</v>
      </c>
      <c r="D11" s="121" t="str">
        <f>IF(ISBLANK(I85),"―",I85)</f>
        <v>―</v>
      </c>
      <c r="E11" s="56">
        <v>5</v>
      </c>
      <c r="F11" s="60" t="str">
        <f>IF(D11="―","―",E11)</f>
        <v>―</v>
      </c>
      <c r="G11" s="115" t="str">
        <f t="shared" si="0"/>
        <v>―</v>
      </c>
      <c r="H11" s="226"/>
      <c r="I11" s="227"/>
      <c r="J11" s="228"/>
    </row>
    <row r="12" spans="1:22" ht="15" customHeight="1" x14ac:dyDescent="0.25">
      <c r="A12" s="80"/>
      <c r="B12" s="155" t="s">
        <v>0</v>
      </c>
      <c r="C12" s="156"/>
      <c r="D12" s="156"/>
      <c r="E12" s="156"/>
      <c r="F12" s="156"/>
      <c r="G12" s="156"/>
      <c r="H12" s="157"/>
      <c r="I12" s="51" t="s">
        <v>28</v>
      </c>
      <c r="J12" s="52" t="s">
        <v>89</v>
      </c>
    </row>
    <row r="13" spans="1:22" ht="15" customHeight="1" thickBot="1" x14ac:dyDescent="0.3">
      <c r="A13" s="80"/>
      <c r="B13" s="158"/>
      <c r="C13" s="159"/>
      <c r="D13" s="159"/>
      <c r="E13" s="159"/>
      <c r="F13" s="159"/>
      <c r="G13" s="159"/>
      <c r="H13" s="160"/>
      <c r="I13" s="14" t="str">
        <f>IF(J15&lt;20,"―",IF(G14&lt;0.95,-5,0)+(25*(SUM(J17*4,J18*3,J19*2,J20)/SUM(3*J23,4*J24))))</f>
        <v>―</v>
      </c>
      <c r="J13" s="13" t="str">
        <f>IF($I$13="―","Not Rated",VLOOKUP($I13,O3:V8,8,TRUE))</f>
        <v>Not Rated</v>
      </c>
    </row>
    <row r="14" spans="1:22" ht="15" customHeight="1" x14ac:dyDescent="0.25">
      <c r="B14" s="92"/>
      <c r="C14" s="93"/>
      <c r="D14" s="93"/>
      <c r="E14" s="93"/>
      <c r="F14" s="94" t="s">
        <v>31</v>
      </c>
      <c r="G14" s="40" t="str">
        <f>IF(J15&lt;20,"―",SUM(H17:I21)/SUM(H17:I22))</f>
        <v>―</v>
      </c>
      <c r="H14" s="30" t="s">
        <v>79</v>
      </c>
      <c r="I14" s="30" t="s">
        <v>80</v>
      </c>
      <c r="J14" s="31" t="s">
        <v>10</v>
      </c>
    </row>
    <row r="15" spans="1:22" ht="15" customHeight="1" x14ac:dyDescent="0.25">
      <c r="B15" s="15"/>
      <c r="G15" s="7" t="s">
        <v>9</v>
      </c>
      <c r="H15" s="20">
        <f>SUM(H23:H24)</f>
        <v>0</v>
      </c>
      <c r="I15" s="20">
        <f>SUM(I23:I24)</f>
        <v>0</v>
      </c>
      <c r="J15" s="23">
        <f>SUM(J23:J24)</f>
        <v>0</v>
      </c>
    </row>
    <row r="16" spans="1:22" ht="15" customHeight="1" x14ac:dyDescent="0.25">
      <c r="B16" s="15"/>
      <c r="G16" s="7" t="s">
        <v>81</v>
      </c>
      <c r="H16" s="21" t="str">
        <f>IF(H15&lt;20,"―",SUM(H17:H19)/H15)</f>
        <v>―</v>
      </c>
      <c r="I16" s="21" t="str">
        <f>IF(I15&lt;20,"―",SUM(I17:I19)/I15)</f>
        <v>―</v>
      </c>
      <c r="J16" s="24" t="str">
        <f>IF(J15&lt;20,"―",SUM(J17:J19)/J15)</f>
        <v>―</v>
      </c>
    </row>
    <row r="17" spans="1:10" x14ac:dyDescent="0.25">
      <c r="B17" s="15"/>
      <c r="G17" s="8" t="s">
        <v>88</v>
      </c>
      <c r="H17" s="41"/>
      <c r="I17" s="1"/>
      <c r="J17" s="23">
        <f t="shared" ref="J17:J24" si="1">SUM(H17:I17)</f>
        <v>0</v>
      </c>
    </row>
    <row r="18" spans="1:10" x14ac:dyDescent="0.25">
      <c r="B18" s="15"/>
      <c r="G18" s="8" t="s">
        <v>82</v>
      </c>
      <c r="H18" s="4"/>
      <c r="I18" s="2"/>
      <c r="J18" s="23">
        <f t="shared" si="1"/>
        <v>0</v>
      </c>
    </row>
    <row r="19" spans="1:10" x14ac:dyDescent="0.25">
      <c r="B19" s="15"/>
      <c r="G19" s="8" t="s">
        <v>83</v>
      </c>
      <c r="H19" s="4"/>
      <c r="I19" s="2"/>
      <c r="J19" s="23">
        <f t="shared" ref="J19" si="2">SUM(H19:I19)</f>
        <v>0</v>
      </c>
    </row>
    <row r="20" spans="1:10" ht="15" customHeight="1" x14ac:dyDescent="0.25">
      <c r="B20" s="15"/>
      <c r="G20" s="8" t="s">
        <v>84</v>
      </c>
      <c r="H20" s="4"/>
      <c r="I20" s="2"/>
      <c r="J20" s="23">
        <f t="shared" si="1"/>
        <v>0</v>
      </c>
    </row>
    <row r="21" spans="1:10" ht="15" customHeight="1" x14ac:dyDescent="0.25">
      <c r="B21" s="15"/>
      <c r="G21" s="8" t="s">
        <v>85</v>
      </c>
      <c r="H21" s="4"/>
      <c r="I21" s="2"/>
      <c r="J21" s="23">
        <f t="shared" si="1"/>
        <v>0</v>
      </c>
    </row>
    <row r="22" spans="1:10" ht="15.75" customHeight="1" x14ac:dyDescent="0.25">
      <c r="B22" s="15"/>
      <c r="G22" s="8" t="s">
        <v>5</v>
      </c>
      <c r="H22" s="81"/>
      <c r="I22" s="19"/>
      <c r="J22" s="23">
        <f t="shared" si="1"/>
        <v>0</v>
      </c>
    </row>
    <row r="23" spans="1:10" ht="15.75" customHeight="1" x14ac:dyDescent="0.25">
      <c r="B23" s="15"/>
      <c r="G23" s="8" t="s">
        <v>86</v>
      </c>
      <c r="H23" s="81"/>
      <c r="I23" s="19"/>
      <c r="J23" s="32">
        <f t="shared" si="1"/>
        <v>0</v>
      </c>
    </row>
    <row r="24" spans="1:10" ht="15.75" customHeight="1" x14ac:dyDescent="0.25">
      <c r="B24" s="15"/>
      <c r="G24" s="10" t="s">
        <v>87</v>
      </c>
      <c r="H24" s="20">
        <f>SUM(H17:H22)-H23</f>
        <v>0</v>
      </c>
      <c r="I24" s="20">
        <f>SUM(I17:I22)-I23</f>
        <v>0</v>
      </c>
      <c r="J24" s="23">
        <f t="shared" si="1"/>
        <v>0</v>
      </c>
    </row>
    <row r="25" spans="1:10" x14ac:dyDescent="0.25">
      <c r="B25" s="161" t="s">
        <v>48</v>
      </c>
      <c r="C25" s="162"/>
      <c r="D25" s="162"/>
      <c r="E25" s="162"/>
      <c r="F25" s="162"/>
      <c r="G25" s="162"/>
      <c r="H25" s="162"/>
      <c r="I25" s="162"/>
      <c r="J25" s="163"/>
    </row>
    <row r="26" spans="1:10" x14ac:dyDescent="0.25">
      <c r="B26" s="164"/>
      <c r="C26" s="165"/>
      <c r="D26" s="165"/>
      <c r="E26" s="165"/>
      <c r="F26" s="165"/>
      <c r="G26" s="165"/>
      <c r="H26" s="165"/>
      <c r="I26" s="165"/>
      <c r="J26" s="166"/>
    </row>
    <row r="27" spans="1:10" x14ac:dyDescent="0.25">
      <c r="A27" s="154"/>
      <c r="B27" s="164"/>
      <c r="C27" s="165"/>
      <c r="D27" s="165"/>
      <c r="E27" s="165"/>
      <c r="F27" s="165"/>
      <c r="G27" s="165"/>
      <c r="H27" s="165"/>
      <c r="I27" s="165"/>
      <c r="J27" s="166"/>
    </row>
    <row r="28" spans="1:10" x14ac:dyDescent="0.25">
      <c r="A28" s="154"/>
      <c r="B28" s="164"/>
      <c r="C28" s="165"/>
      <c r="D28" s="165"/>
      <c r="E28" s="165"/>
      <c r="F28" s="165"/>
      <c r="G28" s="165"/>
      <c r="H28" s="165"/>
      <c r="I28" s="165"/>
      <c r="J28" s="166"/>
    </row>
    <row r="29" spans="1:10" ht="15.75" thickBot="1" x14ac:dyDescent="0.3">
      <c r="B29" s="164"/>
      <c r="C29" s="165"/>
      <c r="D29" s="165"/>
      <c r="E29" s="165"/>
      <c r="F29" s="165"/>
      <c r="G29" s="165"/>
      <c r="H29" s="165"/>
      <c r="I29" s="165"/>
      <c r="J29" s="166"/>
    </row>
    <row r="30" spans="1:10" ht="15" customHeight="1" x14ac:dyDescent="0.25">
      <c r="A30" s="80"/>
      <c r="B30" s="155" t="s">
        <v>47</v>
      </c>
      <c r="C30" s="156"/>
      <c r="D30" s="156"/>
      <c r="E30" s="156"/>
      <c r="F30" s="156"/>
      <c r="G30" s="156"/>
      <c r="H30" s="157"/>
      <c r="I30" s="51" t="s">
        <v>28</v>
      </c>
      <c r="J30" s="52" t="s">
        <v>89</v>
      </c>
    </row>
    <row r="31" spans="1:10" ht="15" customHeight="1" thickBot="1" x14ac:dyDescent="0.3">
      <c r="A31" s="80"/>
      <c r="B31" s="158"/>
      <c r="C31" s="159"/>
      <c r="D31" s="159"/>
      <c r="E31" s="159"/>
      <c r="F31" s="159"/>
      <c r="G31" s="159"/>
      <c r="H31" s="160"/>
      <c r="I31" s="14" t="str">
        <f>IF(J33&lt;20,"―",(10*(SUM(J35*4,J36*3,J37*2,J38)/SUM(3*J41,4*J42))))</f>
        <v>―</v>
      </c>
      <c r="J31" s="13" t="str">
        <f>IF($I$13="―","Not Rated",VLOOKUP($I31,P3:V8,7,TRUE))</f>
        <v>Not Rated</v>
      </c>
    </row>
    <row r="32" spans="1:10" ht="15" customHeight="1" x14ac:dyDescent="0.25">
      <c r="B32" s="92"/>
      <c r="C32" s="93"/>
      <c r="D32" s="93"/>
      <c r="E32" s="93"/>
      <c r="F32" s="94" t="s">
        <v>92</v>
      </c>
      <c r="G32" s="40" t="str">
        <f>IF(J33&lt;20,"―",SUM(I35:I39)/SUM(I35:I40))</f>
        <v>―</v>
      </c>
      <c r="H32" s="30" t="s">
        <v>93</v>
      </c>
      <c r="I32" s="30" t="s">
        <v>94</v>
      </c>
      <c r="J32" s="31" t="s">
        <v>10</v>
      </c>
    </row>
    <row r="33" spans="2:10" ht="15" customHeight="1" x14ac:dyDescent="0.25">
      <c r="B33" s="15"/>
      <c r="G33" s="7" t="s">
        <v>9</v>
      </c>
      <c r="H33" s="20">
        <f>SUM(H41:H42)</f>
        <v>0</v>
      </c>
      <c r="I33" s="20">
        <f>SUM(I41:I42)</f>
        <v>0</v>
      </c>
      <c r="J33" s="23">
        <f>SUM(J41:J42)</f>
        <v>0</v>
      </c>
    </row>
    <row r="34" spans="2:10" ht="15" customHeight="1" x14ac:dyDescent="0.25">
      <c r="B34" s="15"/>
      <c r="G34" s="7" t="s">
        <v>81</v>
      </c>
      <c r="H34" s="21" t="str">
        <f>IF(H33&lt;20,"―",SUM(H35:H37)/H33)</f>
        <v>―</v>
      </c>
      <c r="I34" s="21" t="str">
        <f>IF(I33&lt;20,"―",SUM(I35:I37)/I33)</f>
        <v>―</v>
      </c>
      <c r="J34" s="24" t="str">
        <f>IF(J33&lt;20,"―",SUM(J35:J37)/J33)</f>
        <v>―</v>
      </c>
    </row>
    <row r="35" spans="2:10" x14ac:dyDescent="0.25">
      <c r="B35" s="15"/>
      <c r="G35" s="8" t="s">
        <v>88</v>
      </c>
      <c r="H35" s="41"/>
      <c r="I35" s="1"/>
      <c r="J35" s="23">
        <f t="shared" ref="J35:J36" si="3">SUM(H35:I35)</f>
        <v>0</v>
      </c>
    </row>
    <row r="36" spans="2:10" x14ac:dyDescent="0.25">
      <c r="B36" s="15"/>
      <c r="G36" s="8" t="s">
        <v>82</v>
      </c>
      <c r="H36" s="4"/>
      <c r="I36" s="2"/>
      <c r="J36" s="23">
        <f t="shared" si="3"/>
        <v>0</v>
      </c>
    </row>
    <row r="37" spans="2:10" x14ac:dyDescent="0.25">
      <c r="B37" s="15"/>
      <c r="G37" s="8" t="s">
        <v>83</v>
      </c>
      <c r="H37" s="4"/>
      <c r="I37" s="2"/>
      <c r="J37" s="23">
        <f t="shared" ref="J37" si="4">SUM(H37:I37)</f>
        <v>0</v>
      </c>
    </row>
    <row r="38" spans="2:10" ht="15" customHeight="1" x14ac:dyDescent="0.25">
      <c r="B38" s="15"/>
      <c r="G38" s="8" t="s">
        <v>84</v>
      </c>
      <c r="H38" s="4"/>
      <c r="I38" s="2"/>
      <c r="J38" s="23">
        <f t="shared" ref="J38:J42" si="5">SUM(H38:I38)</f>
        <v>0</v>
      </c>
    </row>
    <row r="39" spans="2:10" ht="15" customHeight="1" x14ac:dyDescent="0.25">
      <c r="B39" s="15"/>
      <c r="G39" s="8" t="s">
        <v>85</v>
      </c>
      <c r="H39" s="4"/>
      <c r="I39" s="2"/>
      <c r="J39" s="23">
        <f t="shared" si="5"/>
        <v>0</v>
      </c>
    </row>
    <row r="40" spans="2:10" ht="15.75" customHeight="1" x14ac:dyDescent="0.25">
      <c r="B40" s="15"/>
      <c r="G40" s="8" t="s">
        <v>5</v>
      </c>
      <c r="H40" s="81"/>
      <c r="I40" s="19"/>
      <c r="J40" s="23">
        <f t="shared" si="5"/>
        <v>0</v>
      </c>
    </row>
    <row r="41" spans="2:10" ht="15.75" customHeight="1" x14ac:dyDescent="0.25">
      <c r="B41" s="15"/>
      <c r="G41" s="8" t="s">
        <v>86</v>
      </c>
      <c r="H41" s="81"/>
      <c r="I41" s="19"/>
      <c r="J41" s="32">
        <f t="shared" si="5"/>
        <v>0</v>
      </c>
    </row>
    <row r="42" spans="2:10" ht="15.75" customHeight="1" x14ac:dyDescent="0.25">
      <c r="B42" s="15"/>
      <c r="G42" s="10" t="s">
        <v>87</v>
      </c>
      <c r="H42" s="20">
        <f>SUM(H35:H40)-H41</f>
        <v>0</v>
      </c>
      <c r="I42" s="20">
        <f>SUM(I35:I40)-I41</f>
        <v>0</v>
      </c>
      <c r="J42" s="23">
        <f t="shared" si="5"/>
        <v>0</v>
      </c>
    </row>
    <row r="43" spans="2:10" ht="15" customHeight="1" x14ac:dyDescent="0.25">
      <c r="B43" s="161" t="s">
        <v>95</v>
      </c>
      <c r="C43" s="162"/>
      <c r="D43" s="162"/>
      <c r="E43" s="162"/>
      <c r="F43" s="162"/>
      <c r="G43" s="162"/>
      <c r="H43" s="162"/>
      <c r="I43" s="162"/>
      <c r="J43" s="163"/>
    </row>
    <row r="44" spans="2:10" x14ac:dyDescent="0.25">
      <c r="B44" s="164"/>
      <c r="C44" s="165"/>
      <c r="D44" s="165"/>
      <c r="E44" s="165"/>
      <c r="F44" s="165"/>
      <c r="G44" s="165"/>
      <c r="H44" s="165"/>
      <c r="I44" s="165"/>
      <c r="J44" s="166"/>
    </row>
    <row r="45" spans="2:10" ht="15.75" thickBot="1" x14ac:dyDescent="0.3">
      <c r="B45" s="167"/>
      <c r="C45" s="168"/>
      <c r="D45" s="168"/>
      <c r="E45" s="168"/>
      <c r="F45" s="168"/>
      <c r="G45" s="168"/>
      <c r="H45" s="168"/>
      <c r="I45" s="168"/>
      <c r="J45" s="169"/>
    </row>
    <row r="46" spans="2:10" ht="15" customHeight="1" x14ac:dyDescent="0.25">
      <c r="B46" s="155" t="s">
        <v>96</v>
      </c>
      <c r="C46" s="156"/>
      <c r="D46" s="156"/>
      <c r="E46" s="156"/>
      <c r="F46" s="156"/>
      <c r="G46" s="156"/>
      <c r="H46" s="157"/>
      <c r="I46" s="53" t="s">
        <v>28</v>
      </c>
      <c r="J46" s="52" t="s">
        <v>89</v>
      </c>
    </row>
    <row r="47" spans="2:10" ht="15.75" customHeight="1" thickBot="1" x14ac:dyDescent="0.3">
      <c r="B47" s="158"/>
      <c r="C47" s="159"/>
      <c r="D47" s="159"/>
      <c r="E47" s="159"/>
      <c r="F47" s="159"/>
      <c r="G47" s="159"/>
      <c r="H47" s="160"/>
      <c r="I47" s="11" t="str">
        <f>IF(H50&lt;20,"―",MAX(19*((H48-0.5)/0.5),0))</f>
        <v>―</v>
      </c>
      <c r="J47" s="13" t="str">
        <f>IF(I47="―","Not Rated",VLOOKUP(I47,Q3:V8,6,TRUE))</f>
        <v>Not Rated</v>
      </c>
    </row>
    <row r="48" spans="2:10" x14ac:dyDescent="0.25">
      <c r="B48" s="43"/>
      <c r="C48" s="44"/>
      <c r="D48" s="44"/>
      <c r="E48" s="44"/>
      <c r="F48" s="44"/>
      <c r="G48" s="45" t="s">
        <v>97</v>
      </c>
      <c r="H48" s="83" t="str">
        <f>IF(H50=0,"―",H49/H50)</f>
        <v>―</v>
      </c>
      <c r="I48" s="212" t="s">
        <v>99</v>
      </c>
      <c r="J48" s="213"/>
    </row>
    <row r="49" spans="2:10" x14ac:dyDescent="0.25">
      <c r="B49" s="15"/>
      <c r="G49" s="8" t="s">
        <v>98</v>
      </c>
      <c r="H49" s="42"/>
      <c r="I49" s="214"/>
      <c r="J49" s="215"/>
    </row>
    <row r="50" spans="2:10" ht="15.75" thickBot="1" x14ac:dyDescent="0.3">
      <c r="B50" s="15"/>
      <c r="G50" s="8" t="s">
        <v>137</v>
      </c>
      <c r="H50" s="49"/>
      <c r="I50" s="216"/>
      <c r="J50" s="217"/>
    </row>
    <row r="51" spans="2:10" ht="15" customHeight="1" x14ac:dyDescent="0.25">
      <c r="B51" s="155" t="s">
        <v>100</v>
      </c>
      <c r="C51" s="156"/>
      <c r="D51" s="156"/>
      <c r="E51" s="156"/>
      <c r="F51" s="156"/>
      <c r="G51" s="156"/>
      <c r="H51" s="157"/>
      <c r="I51" s="53" t="s">
        <v>28</v>
      </c>
      <c r="J51" s="52" t="s">
        <v>89</v>
      </c>
    </row>
    <row r="52" spans="2:10" ht="15.75" customHeight="1" thickBot="1" x14ac:dyDescent="0.3">
      <c r="B52" s="158"/>
      <c r="C52" s="159"/>
      <c r="D52" s="159"/>
      <c r="E52" s="159"/>
      <c r="F52" s="159"/>
      <c r="G52" s="159"/>
      <c r="H52" s="160"/>
      <c r="I52" s="11" t="str">
        <f>IF(OR(H50&lt;20,ISBLANK(J54)),"―",MAX(19*(J54/H50),0))</f>
        <v>―</v>
      </c>
      <c r="J52" s="13" t="str">
        <f>IF(I52="―","Not Rated",VLOOKUP(I52,R$3:$V$8,5,TRUE))</f>
        <v>Not Rated</v>
      </c>
    </row>
    <row r="53" spans="2:10" ht="15.75" customHeight="1" x14ac:dyDescent="0.25">
      <c r="B53" s="206" t="s">
        <v>107</v>
      </c>
      <c r="C53" s="195"/>
      <c r="D53" s="195"/>
      <c r="E53" s="195"/>
      <c r="F53" s="195"/>
      <c r="G53" s="195"/>
      <c r="H53" s="195"/>
      <c r="I53" s="195" t="s">
        <v>114</v>
      </c>
      <c r="J53" s="196"/>
    </row>
    <row r="54" spans="2:10" ht="15.75" customHeight="1" x14ac:dyDescent="0.25">
      <c r="B54" s="87"/>
      <c r="C54" s="85"/>
      <c r="D54" s="85"/>
      <c r="E54" s="85"/>
      <c r="F54" s="85"/>
      <c r="G54" s="86" t="s">
        <v>102</v>
      </c>
      <c r="H54" s="88"/>
      <c r="I54" s="198" t="s">
        <v>118</v>
      </c>
      <c r="J54" s="100"/>
    </row>
    <row r="55" spans="2:10" ht="15.75" customHeight="1" x14ac:dyDescent="0.25">
      <c r="B55" s="15"/>
      <c r="G55" s="22" t="s">
        <v>101</v>
      </c>
      <c r="H55" s="89"/>
      <c r="I55" s="199"/>
      <c r="J55" s="101" t="str">
        <f>IF(ISBLANK(H50),"―",J54/$H$50)</f>
        <v>―</v>
      </c>
    </row>
    <row r="56" spans="2:10" ht="15.75" customHeight="1" x14ac:dyDescent="0.25">
      <c r="B56" s="15"/>
      <c r="G56" s="22" t="s">
        <v>105</v>
      </c>
      <c r="H56" s="89"/>
      <c r="I56" s="198" t="s">
        <v>117</v>
      </c>
      <c r="J56" s="102"/>
    </row>
    <row r="57" spans="2:10" ht="15.75" customHeight="1" x14ac:dyDescent="0.25">
      <c r="B57" s="15"/>
      <c r="G57" s="22" t="s">
        <v>104</v>
      </c>
      <c r="H57" s="89"/>
      <c r="I57" s="199"/>
      <c r="J57" s="101" t="str">
        <f>IF(ISBLANK(H50),"―",J56/$H$50)</f>
        <v>―</v>
      </c>
    </row>
    <row r="58" spans="2:10" ht="15.75" customHeight="1" x14ac:dyDescent="0.25">
      <c r="B58" s="15"/>
      <c r="G58" s="22" t="s">
        <v>106</v>
      </c>
      <c r="H58" s="89"/>
      <c r="I58" s="198" t="s">
        <v>116</v>
      </c>
      <c r="J58" s="102"/>
    </row>
    <row r="59" spans="2:10" ht="15.75" customHeight="1" x14ac:dyDescent="0.25">
      <c r="B59" s="35"/>
      <c r="C59" s="9"/>
      <c r="D59" s="9"/>
      <c r="E59" s="9"/>
      <c r="F59" s="9"/>
      <c r="G59" s="33" t="s">
        <v>103</v>
      </c>
      <c r="H59" s="90"/>
      <c r="I59" s="199"/>
      <c r="J59" s="101" t="str">
        <f>IF(ISBLANK(H50),"―",J58/$H$50)</f>
        <v>―</v>
      </c>
    </row>
    <row r="60" spans="2:10" ht="15.75" customHeight="1" x14ac:dyDescent="0.25">
      <c r="B60" s="188" t="s">
        <v>113</v>
      </c>
      <c r="C60" s="189"/>
      <c r="D60" s="189"/>
      <c r="E60" s="189"/>
      <c r="F60" s="189"/>
      <c r="G60" s="189"/>
      <c r="H60" s="207"/>
      <c r="I60" s="198" t="s">
        <v>115</v>
      </c>
      <c r="J60" s="103"/>
    </row>
    <row r="61" spans="2:10" ht="15.75" customHeight="1" x14ac:dyDescent="0.25">
      <c r="B61" s="15"/>
      <c r="G61" s="22" t="s">
        <v>108</v>
      </c>
      <c r="H61" s="88"/>
      <c r="I61" s="199"/>
      <c r="J61" s="101" t="str">
        <f>IF(ISBLANK(H50),"―",J60/$H$50)</f>
        <v>―</v>
      </c>
    </row>
    <row r="62" spans="2:10" ht="15.75" customHeight="1" x14ac:dyDescent="0.25">
      <c r="B62" s="15"/>
      <c r="G62" s="22" t="s">
        <v>109</v>
      </c>
      <c r="H62" s="89"/>
      <c r="I62" s="197" t="s">
        <v>119</v>
      </c>
      <c r="J62" s="166"/>
    </row>
    <row r="63" spans="2:10" ht="15.75" customHeight="1" x14ac:dyDescent="0.25">
      <c r="B63" s="15"/>
      <c r="G63" s="22" t="s">
        <v>110</v>
      </c>
      <c r="H63" s="89"/>
      <c r="I63" s="197"/>
      <c r="J63" s="166"/>
    </row>
    <row r="64" spans="2:10" ht="15.75" customHeight="1" x14ac:dyDescent="0.25">
      <c r="B64" s="15"/>
      <c r="G64" s="22" t="s">
        <v>111</v>
      </c>
      <c r="H64" s="89"/>
      <c r="I64" s="197"/>
      <c r="J64" s="166"/>
    </row>
    <row r="65" spans="2:10" ht="15.75" customHeight="1" thickBot="1" x14ac:dyDescent="0.3">
      <c r="B65" s="47"/>
      <c r="C65" s="48"/>
      <c r="D65" s="48"/>
      <c r="E65" s="48"/>
      <c r="F65" s="48"/>
      <c r="G65" s="84" t="s">
        <v>112</v>
      </c>
      <c r="H65" s="91"/>
      <c r="I65" s="194"/>
      <c r="J65" s="169"/>
    </row>
    <row r="66" spans="2:10" ht="15.75" customHeight="1" x14ac:dyDescent="0.25">
      <c r="B66" s="155" t="s">
        <v>125</v>
      </c>
      <c r="C66" s="156"/>
      <c r="D66" s="156"/>
      <c r="E66" s="156"/>
      <c r="F66" s="156"/>
      <c r="G66" s="156"/>
      <c r="H66" s="157"/>
      <c r="I66" s="53" t="s">
        <v>28</v>
      </c>
      <c r="J66" s="52" t="s">
        <v>89</v>
      </c>
    </row>
    <row r="67" spans="2:10" ht="15.75" customHeight="1" thickBot="1" x14ac:dyDescent="0.3">
      <c r="B67" s="158"/>
      <c r="C67" s="159"/>
      <c r="D67" s="159"/>
      <c r="E67" s="159"/>
      <c r="F67" s="159"/>
      <c r="G67" s="159"/>
      <c r="H67" s="160"/>
      <c r="I67" s="11" t="str">
        <f>IF(G68&lt;20,"―",MAX(12*((J68-0.5)/0.5),0))</f>
        <v>―</v>
      </c>
      <c r="J67" s="13" t="str">
        <f>IF(I67="―","Not Rated",VLOOKUP(I67,$S$3:$V$8,4,TRUE))</f>
        <v>Not Rated</v>
      </c>
    </row>
    <row r="68" spans="2:10" ht="15.75" customHeight="1" x14ac:dyDescent="0.25">
      <c r="B68" s="132"/>
      <c r="C68" s="133"/>
      <c r="D68" s="133"/>
      <c r="F68" s="134" t="s">
        <v>130</v>
      </c>
      <c r="G68" s="135">
        <f>SUM(G71,J71,J74)</f>
        <v>0</v>
      </c>
      <c r="H68" s="97"/>
      <c r="I68" s="98" t="s">
        <v>129</v>
      </c>
      <c r="J68" s="99" t="str">
        <f>IF(ISERROR(SUM(G70,J70,J73)/G68),"―",SUM(G70,J70,J73)/G68)</f>
        <v>―</v>
      </c>
    </row>
    <row r="69" spans="2:10" ht="15.75" customHeight="1" x14ac:dyDescent="0.25">
      <c r="B69" s="208" t="s">
        <v>123</v>
      </c>
      <c r="C69" s="201"/>
      <c r="D69" s="201"/>
      <c r="E69" s="201"/>
      <c r="F69" s="201"/>
      <c r="G69" s="202"/>
      <c r="H69" s="209" t="s">
        <v>124</v>
      </c>
      <c r="I69" s="210"/>
      <c r="J69" s="211"/>
    </row>
    <row r="70" spans="2:10" ht="15.75" customHeight="1" x14ac:dyDescent="0.25">
      <c r="B70" s="15"/>
      <c r="F70" s="22" t="s">
        <v>120</v>
      </c>
      <c r="G70" s="128"/>
      <c r="H70" s="95"/>
      <c r="I70" s="22" t="s">
        <v>121</v>
      </c>
      <c r="J70" s="110"/>
    </row>
    <row r="71" spans="2:10" ht="15.75" customHeight="1" x14ac:dyDescent="0.25">
      <c r="B71" s="35"/>
      <c r="C71" s="9"/>
      <c r="D71" s="9"/>
      <c r="F71" s="33" t="s">
        <v>132</v>
      </c>
      <c r="G71" s="129"/>
      <c r="H71" s="96"/>
      <c r="I71" s="33" t="s">
        <v>133</v>
      </c>
      <c r="J71" s="111"/>
    </row>
    <row r="72" spans="2:10" ht="15.75" customHeight="1" x14ac:dyDescent="0.25">
      <c r="B72" s="200" t="s">
        <v>126</v>
      </c>
      <c r="C72" s="201"/>
      <c r="D72" s="201"/>
      <c r="E72" s="201"/>
      <c r="F72" s="201"/>
      <c r="G72" s="202"/>
      <c r="H72" s="203" t="s">
        <v>127</v>
      </c>
      <c r="I72" s="204"/>
      <c r="J72" s="205"/>
    </row>
    <row r="73" spans="2:10" ht="15.75" customHeight="1" x14ac:dyDescent="0.25">
      <c r="B73" s="15"/>
      <c r="F73" s="22" t="s">
        <v>122</v>
      </c>
      <c r="G73" s="130"/>
      <c r="H73" s="95"/>
      <c r="I73" s="22" t="s">
        <v>128</v>
      </c>
      <c r="J73" s="104"/>
    </row>
    <row r="74" spans="2:10" ht="15.75" customHeight="1" x14ac:dyDescent="0.25">
      <c r="B74" s="35"/>
      <c r="C74" s="9"/>
      <c r="D74" s="9"/>
      <c r="F74" s="33" t="s">
        <v>134</v>
      </c>
      <c r="G74" s="131"/>
      <c r="H74" s="96"/>
      <c r="I74" s="33" t="s">
        <v>135</v>
      </c>
      <c r="J74" s="105"/>
    </row>
    <row r="75" spans="2:10" ht="15" customHeight="1" x14ac:dyDescent="0.25">
      <c r="B75" s="161" t="s">
        <v>136</v>
      </c>
      <c r="C75" s="162"/>
      <c r="D75" s="162"/>
      <c r="E75" s="162"/>
      <c r="F75" s="162"/>
      <c r="G75" s="162"/>
      <c r="H75" s="162"/>
      <c r="I75" s="162"/>
      <c r="J75" s="163"/>
    </row>
    <row r="76" spans="2:10" ht="15" customHeight="1" x14ac:dyDescent="0.25">
      <c r="B76" s="164"/>
      <c r="C76" s="165"/>
      <c r="D76" s="165"/>
      <c r="E76" s="165"/>
      <c r="F76" s="165"/>
      <c r="G76" s="165"/>
      <c r="H76" s="165"/>
      <c r="I76" s="165"/>
      <c r="J76" s="166"/>
    </row>
    <row r="77" spans="2:10" ht="15" customHeight="1" x14ac:dyDescent="0.25">
      <c r="B77" s="164"/>
      <c r="C77" s="165"/>
      <c r="D77" s="165"/>
      <c r="E77" s="165"/>
      <c r="F77" s="165"/>
      <c r="G77" s="165"/>
      <c r="H77" s="165"/>
      <c r="I77" s="165"/>
      <c r="J77" s="166"/>
    </row>
    <row r="78" spans="2:10" ht="15.75" customHeight="1" thickBot="1" x14ac:dyDescent="0.3">
      <c r="B78" s="167"/>
      <c r="C78" s="168"/>
      <c r="D78" s="168"/>
      <c r="E78" s="168"/>
      <c r="F78" s="168"/>
      <c r="G78" s="168"/>
      <c r="H78" s="168"/>
      <c r="I78" s="168"/>
      <c r="J78" s="169"/>
    </row>
    <row r="79" spans="2:10" x14ac:dyDescent="0.25">
      <c r="B79" s="155" t="s">
        <v>50</v>
      </c>
      <c r="C79" s="156"/>
      <c r="D79" s="156"/>
      <c r="E79" s="156"/>
      <c r="F79" s="156"/>
      <c r="G79" s="156"/>
      <c r="H79" s="157"/>
      <c r="I79" s="53" t="s">
        <v>28</v>
      </c>
      <c r="J79" s="52" t="s">
        <v>89</v>
      </c>
    </row>
    <row r="80" spans="2:10" ht="15" customHeight="1" thickBot="1" x14ac:dyDescent="0.3">
      <c r="B80" s="158"/>
      <c r="C80" s="159"/>
      <c r="D80" s="159"/>
      <c r="E80" s="159"/>
      <c r="F80" s="159"/>
      <c r="G80" s="159"/>
      <c r="H80" s="160"/>
      <c r="I80" s="11" t="str">
        <f>IF(H82&lt;20,"―",J81*10)</f>
        <v>―</v>
      </c>
      <c r="J80" s="13" t="str">
        <f>IF(I80="―","Not Rated",VLOOKUP(I80,T3:V8,3,TRUE))</f>
        <v>Not Rated</v>
      </c>
    </row>
    <row r="81" spans="2:10" x14ac:dyDescent="0.25">
      <c r="B81" s="43"/>
      <c r="C81" s="44"/>
      <c r="D81" s="44"/>
      <c r="E81" s="44"/>
      <c r="F81" s="44"/>
      <c r="G81" s="82" t="s">
        <v>159</v>
      </c>
      <c r="H81" s="42"/>
      <c r="I81" s="145" t="s">
        <v>51</v>
      </c>
      <c r="J81" s="46" t="str">
        <f>IF(H82=0,"―",H81/H82)</f>
        <v>―</v>
      </c>
    </row>
    <row r="82" spans="2:10" ht="15.75" customHeight="1" x14ac:dyDescent="0.25">
      <c r="B82" s="15"/>
      <c r="G82" s="8" t="s">
        <v>160</v>
      </c>
      <c r="H82" s="26"/>
      <c r="I82" s="193" t="s">
        <v>161</v>
      </c>
      <c r="J82" s="163"/>
    </row>
    <row r="83" spans="2:10" ht="15.75" customHeight="1" thickBot="1" x14ac:dyDescent="0.3">
      <c r="B83" s="47"/>
      <c r="C83" s="48"/>
      <c r="D83" s="48"/>
      <c r="E83" s="48"/>
      <c r="F83" s="48"/>
      <c r="G83" s="144" t="s">
        <v>162</v>
      </c>
      <c r="H83" s="49"/>
      <c r="I83" s="194"/>
      <c r="J83" s="169"/>
    </row>
    <row r="84" spans="2:10" x14ac:dyDescent="0.25">
      <c r="B84" s="155" t="s">
        <v>52</v>
      </c>
      <c r="C84" s="156"/>
      <c r="D84" s="156"/>
      <c r="E84" s="156"/>
      <c r="F84" s="156"/>
      <c r="G84" s="156"/>
      <c r="H84" s="157"/>
      <c r="I84" s="53" t="s">
        <v>28</v>
      </c>
      <c r="J84" s="52" t="s">
        <v>89</v>
      </c>
    </row>
    <row r="85" spans="2:10" ht="15.75" thickBot="1" x14ac:dyDescent="0.3">
      <c r="B85" s="158"/>
      <c r="C85" s="159"/>
      <c r="D85" s="159"/>
      <c r="E85" s="159"/>
      <c r="F85" s="159"/>
      <c r="G85" s="159"/>
      <c r="H85" s="160"/>
      <c r="I85" s="50"/>
      <c r="J85" s="13" t="str">
        <f>IF(ISBLANK($I$85),"Not Rated",VLOOKUP(I85,U$3:$V$8,2,TRUE))</f>
        <v>Not Rated</v>
      </c>
    </row>
    <row r="86" spans="2:10" x14ac:dyDescent="0.25">
      <c r="B86" s="185" t="s">
        <v>66</v>
      </c>
      <c r="C86" s="186"/>
      <c r="D86" s="186"/>
      <c r="E86" s="186"/>
      <c r="F86" s="186"/>
      <c r="G86" s="186"/>
      <c r="H86" s="186"/>
      <c r="I86" s="186"/>
      <c r="J86" s="187"/>
    </row>
    <row r="87" spans="2:10" x14ac:dyDescent="0.25">
      <c r="B87" s="164"/>
      <c r="C87" s="165"/>
      <c r="D87" s="165"/>
      <c r="E87" s="165"/>
      <c r="F87" s="165"/>
      <c r="G87" s="165"/>
      <c r="H87" s="165"/>
      <c r="I87" s="165"/>
      <c r="J87" s="166"/>
    </row>
    <row r="88" spans="2:10" x14ac:dyDescent="0.25">
      <c r="B88" s="164"/>
      <c r="C88" s="165"/>
      <c r="D88" s="165"/>
      <c r="E88" s="165"/>
      <c r="F88" s="165"/>
      <c r="G88" s="165"/>
      <c r="H88" s="165"/>
      <c r="I88" s="165"/>
      <c r="J88" s="166"/>
    </row>
    <row r="89" spans="2:10" ht="15.75" thickBot="1" x14ac:dyDescent="0.3">
      <c r="B89" s="167"/>
      <c r="C89" s="168"/>
      <c r="D89" s="168"/>
      <c r="E89" s="168"/>
      <c r="F89" s="168"/>
      <c r="G89" s="168"/>
      <c r="H89" s="168"/>
      <c r="I89" s="168"/>
      <c r="J89" s="169"/>
    </row>
    <row r="92" spans="2:10" x14ac:dyDescent="0.25">
      <c r="E92" s="22"/>
    </row>
    <row r="93" spans="2:10" x14ac:dyDescent="0.25">
      <c r="E93" s="22"/>
    </row>
    <row r="95" spans="2:10" x14ac:dyDescent="0.25">
      <c r="H95" s="22"/>
    </row>
    <row r="96" spans="2:10" x14ac:dyDescent="0.25">
      <c r="H96" s="22"/>
    </row>
    <row r="97" spans="8:8" x14ac:dyDescent="0.25">
      <c r="H97" s="22"/>
    </row>
    <row r="98" spans="8:8" x14ac:dyDescent="0.25">
      <c r="H98" s="22"/>
    </row>
    <row r="99" spans="8:8" x14ac:dyDescent="0.25">
      <c r="H99" s="22"/>
    </row>
    <row r="100" spans="8:8" x14ac:dyDescent="0.25">
      <c r="H100" s="22"/>
    </row>
  </sheetData>
  <mergeCells count="30">
    <mergeCell ref="B2:J3"/>
    <mergeCell ref="N2:V2"/>
    <mergeCell ref="B25:J29"/>
    <mergeCell ref="A27:A28"/>
    <mergeCell ref="H4:H5"/>
    <mergeCell ref="H6:J11"/>
    <mergeCell ref="B12:H13"/>
    <mergeCell ref="B30:H31"/>
    <mergeCell ref="B53:H53"/>
    <mergeCell ref="B60:H60"/>
    <mergeCell ref="B66:H67"/>
    <mergeCell ref="B69:G69"/>
    <mergeCell ref="H69:J69"/>
    <mergeCell ref="B51:H52"/>
    <mergeCell ref="B43:J45"/>
    <mergeCell ref="B46:H47"/>
    <mergeCell ref="I48:J50"/>
    <mergeCell ref="B86:J89"/>
    <mergeCell ref="B84:H85"/>
    <mergeCell ref="I53:J53"/>
    <mergeCell ref="I62:J65"/>
    <mergeCell ref="I54:I55"/>
    <mergeCell ref="I56:I57"/>
    <mergeCell ref="I58:I59"/>
    <mergeCell ref="I60:I61"/>
    <mergeCell ref="B79:H80"/>
    <mergeCell ref="B75:J78"/>
    <mergeCell ref="B72:G72"/>
    <mergeCell ref="H72:J72"/>
    <mergeCell ref="I82:J83"/>
  </mergeCells>
  <conditionalFormatting sqref="G14">
    <cfRule type="cellIs" dxfId="1" priority="3" operator="lessThan">
      <formula>0.95</formula>
    </cfRule>
  </conditionalFormatting>
  <conditionalFormatting sqref="G32">
    <cfRule type="cellIs" dxfId="0" priority="2" operator="lessThan">
      <formula>0.95</formula>
    </cfRule>
  </conditionalFormatting>
  <dataValidations count="1">
    <dataValidation type="decimal" allowBlank="1" showInputMessage="1" showErrorMessage="1" error="The School Climate Indicator is worth 5 points for High Schools. You have entered an invalid value." sqref="I85" xr:uid="{A56CB07D-EF18-4FF0-846C-B0EFDF43F625}">
      <formula1>0</formula1>
      <formula2>5</formula2>
    </dataValidation>
  </dataValidations>
  <pageMargins left="0.7" right="0.7" top="0.75" bottom="0.75" header="0.3" footer="0.3"/>
  <pageSetup orientation="portrait" r:id="rId1"/>
  <ignoredErrors>
    <ignoredError sqref="H16:I16 H34:I34" formulaRange="1"/>
    <ignoredError sqref="J37 J19 F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Elementary &amp; Middle Schools</vt:lpstr>
      <vt:lpstr>High 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Lavery, Matthew</dc:creator>
  <cp:lastModifiedBy>Lavery, Matthew</cp:lastModifiedBy>
  <dcterms:created xsi:type="dcterms:W3CDTF">2024-04-10T16:57:58Z</dcterms:created>
  <dcterms:modified xsi:type="dcterms:W3CDTF">2025-08-12T18:00:18Z</dcterms:modified>
</cp:coreProperties>
</file>